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alambo\Desktop\STOCK DES REGIONS\Septembre 2020\"/>
    </mc:Choice>
  </mc:AlternateContent>
  <xr:revisionPtr revIDLastSave="0" documentId="13_ncr:1_{3601E63F-3726-496A-ADB6-A03D277F9059}" xr6:coauthVersionLast="44" xr6:coauthVersionMax="45" xr10:uidLastSave="{00000000-0000-0000-0000-000000000000}"/>
  <bookViews>
    <workbookView minimized="1" xWindow="768" yWindow="708" windowWidth="9816" windowHeight="6876" firstSheet="2" activeTab="8" xr2:uid="{00000000-000D-0000-FFFF-FFFF00000000}"/>
  </bookViews>
  <sheets>
    <sheet name="Janvier" sheetId="1" r:id="rId1"/>
    <sheet name="Fevrier" sheetId="2" r:id="rId2"/>
    <sheet name="Mars" sheetId="5" r:id="rId3"/>
    <sheet name="Avril" sheetId="6" r:id="rId4"/>
    <sheet name="Mai" sheetId="7" r:id="rId5"/>
    <sheet name="Juin" sheetId="8" r:id="rId6"/>
    <sheet name="Juillet" sheetId="9" r:id="rId7"/>
    <sheet name="Aout" sheetId="10" r:id="rId8"/>
    <sheet name="Sept" sheetId="11" r:id="rId9"/>
    <sheet name="Oct" sheetId="12" r:id="rId10"/>
    <sheet name="Nov" sheetId="13" r:id="rId11"/>
    <sheet name="Dec" sheetId="14" r:id="rId12"/>
    <sheet name="TOT" sheetId="4" r:id="rId13"/>
    <sheet name="Stock debut annee" sheetId="15" r:id="rId14"/>
    <sheet name="Doses Recues" sheetId="16" r:id="rId15"/>
    <sheet name="Doses utilisée" sheetId="17" r:id="rId16"/>
    <sheet name="Sheet1" sheetId="3" r:id="rId17"/>
  </sheets>
  <definedNames>
    <definedName name="_xlnm._FilterDatabase" localSheetId="7" hidden="1">Aout!$A$3:$BA$86</definedName>
    <definedName name="_xlnm._FilterDatabase" localSheetId="8" hidden="1">Sept!$A$3:$BA$86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13" i="11" l="1"/>
  <c r="AC13" i="11"/>
  <c r="Z13" i="11"/>
  <c r="W13" i="11"/>
  <c r="T13" i="11"/>
  <c r="Q13" i="11"/>
  <c r="N13" i="11"/>
  <c r="K13" i="11"/>
  <c r="H13" i="11"/>
  <c r="E13" i="11"/>
  <c r="AF8" i="11"/>
  <c r="AC8" i="11"/>
  <c r="Z8" i="11"/>
  <c r="W8" i="11"/>
  <c r="T8" i="11"/>
  <c r="N8" i="11"/>
  <c r="K8" i="11"/>
  <c r="H8" i="11"/>
  <c r="E8" i="11"/>
  <c r="AH14" i="6" l="1"/>
  <c r="AI14" i="6"/>
  <c r="AH15" i="6"/>
  <c r="AI15" i="6"/>
  <c r="AH16" i="6"/>
  <c r="AI16" i="6"/>
  <c r="AH17" i="6"/>
  <c r="AI17" i="6"/>
  <c r="AH18" i="6"/>
  <c r="AI18" i="6"/>
  <c r="AH19" i="6"/>
  <c r="AI19" i="6"/>
  <c r="AH20" i="6"/>
  <c r="AI20" i="6"/>
  <c r="W85" i="4" l="1"/>
  <c r="V85" i="4"/>
  <c r="K82" i="16" s="1"/>
  <c r="K83" i="17" s="1"/>
  <c r="U85" i="4"/>
  <c r="T85" i="4"/>
  <c r="I82" i="16" s="1"/>
  <c r="I83" i="17" s="1"/>
  <c r="S85" i="4"/>
  <c r="R85" i="4"/>
  <c r="J82" i="16" s="1"/>
  <c r="J83" i="17" s="1"/>
  <c r="Q85" i="4"/>
  <c r="P85" i="4"/>
  <c r="H82" i="16" s="1"/>
  <c r="H83" i="17" s="1"/>
  <c r="O85" i="4"/>
  <c r="N85" i="4"/>
  <c r="G82" i="16" s="1"/>
  <c r="G83" i="17" s="1"/>
  <c r="M85" i="4"/>
  <c r="L85" i="4"/>
  <c r="F82" i="16" s="1"/>
  <c r="F83" i="17" s="1"/>
  <c r="K85" i="4"/>
  <c r="J85" i="4"/>
  <c r="E82" i="16" s="1"/>
  <c r="E83" i="17" s="1"/>
  <c r="I85" i="4"/>
  <c r="H85" i="4"/>
  <c r="D82" i="16" s="1"/>
  <c r="D83" i="17" s="1"/>
  <c r="W84" i="4"/>
  <c r="V84" i="4"/>
  <c r="K81" i="16" s="1"/>
  <c r="K82" i="17" s="1"/>
  <c r="U84" i="4"/>
  <c r="T84" i="4"/>
  <c r="I81" i="16" s="1"/>
  <c r="I82" i="17" s="1"/>
  <c r="S84" i="4"/>
  <c r="R84" i="4"/>
  <c r="J81" i="16" s="1"/>
  <c r="J82" i="17" s="1"/>
  <c r="Q84" i="4"/>
  <c r="P84" i="4"/>
  <c r="H81" i="16" s="1"/>
  <c r="H82" i="17" s="1"/>
  <c r="O84" i="4"/>
  <c r="N84" i="4"/>
  <c r="G81" i="16" s="1"/>
  <c r="G82" i="17" s="1"/>
  <c r="M84" i="4"/>
  <c r="L84" i="4"/>
  <c r="F81" i="16" s="1"/>
  <c r="F82" i="17" s="1"/>
  <c r="K84" i="4"/>
  <c r="J84" i="4"/>
  <c r="E81" i="16" s="1"/>
  <c r="E82" i="17" s="1"/>
  <c r="I84" i="4"/>
  <c r="H84" i="4"/>
  <c r="D81" i="16" s="1"/>
  <c r="D82" i="17" s="1"/>
  <c r="W83" i="4"/>
  <c r="V83" i="4"/>
  <c r="K80" i="16" s="1"/>
  <c r="K81" i="17" s="1"/>
  <c r="U83" i="4"/>
  <c r="T83" i="4"/>
  <c r="I80" i="16" s="1"/>
  <c r="I81" i="17" s="1"/>
  <c r="S83" i="4"/>
  <c r="R83" i="4"/>
  <c r="J80" i="16" s="1"/>
  <c r="J81" i="17" s="1"/>
  <c r="Q83" i="4"/>
  <c r="P83" i="4"/>
  <c r="H80" i="16" s="1"/>
  <c r="H81" i="17" s="1"/>
  <c r="O83" i="4"/>
  <c r="N83" i="4"/>
  <c r="G80" i="16" s="1"/>
  <c r="G81" i="17" s="1"/>
  <c r="M83" i="4"/>
  <c r="L83" i="4"/>
  <c r="F80" i="16" s="1"/>
  <c r="F81" i="17" s="1"/>
  <c r="K83" i="4"/>
  <c r="J83" i="4"/>
  <c r="E80" i="16" s="1"/>
  <c r="E81" i="17" s="1"/>
  <c r="I83" i="4"/>
  <c r="H83" i="4"/>
  <c r="D80" i="16" s="1"/>
  <c r="D81" i="17" s="1"/>
  <c r="W82" i="4"/>
  <c r="V82" i="4"/>
  <c r="K79" i="16" s="1"/>
  <c r="K80" i="17" s="1"/>
  <c r="U82" i="4"/>
  <c r="T82" i="4"/>
  <c r="I79" i="16" s="1"/>
  <c r="I80" i="17" s="1"/>
  <c r="S82" i="4"/>
  <c r="R82" i="4"/>
  <c r="J79" i="16" s="1"/>
  <c r="J80" i="17" s="1"/>
  <c r="Q82" i="4"/>
  <c r="P82" i="4"/>
  <c r="H79" i="16" s="1"/>
  <c r="H80" i="17" s="1"/>
  <c r="O82" i="4"/>
  <c r="N82" i="4"/>
  <c r="G79" i="16" s="1"/>
  <c r="G80" i="17" s="1"/>
  <c r="M82" i="4"/>
  <c r="L82" i="4"/>
  <c r="F79" i="16" s="1"/>
  <c r="F80" i="17" s="1"/>
  <c r="K82" i="4"/>
  <c r="J82" i="4"/>
  <c r="E79" i="16" s="1"/>
  <c r="E80" i="17" s="1"/>
  <c r="I82" i="4"/>
  <c r="H82" i="4"/>
  <c r="D79" i="16" s="1"/>
  <c r="D80" i="17" s="1"/>
  <c r="Q18" i="17" s="1"/>
  <c r="W81" i="4"/>
  <c r="V81" i="4"/>
  <c r="K78" i="16" s="1"/>
  <c r="K79" i="17" s="1"/>
  <c r="U81" i="4"/>
  <c r="T81" i="4"/>
  <c r="I78" i="16" s="1"/>
  <c r="I79" i="17" s="1"/>
  <c r="S81" i="4"/>
  <c r="R81" i="4"/>
  <c r="J78" i="16" s="1"/>
  <c r="J79" i="17" s="1"/>
  <c r="Q81" i="4"/>
  <c r="P81" i="4"/>
  <c r="H78" i="16" s="1"/>
  <c r="H79" i="17" s="1"/>
  <c r="O81" i="4"/>
  <c r="N81" i="4"/>
  <c r="G78" i="16" s="1"/>
  <c r="G79" i="17" s="1"/>
  <c r="M81" i="4"/>
  <c r="L81" i="4"/>
  <c r="F78" i="16" s="1"/>
  <c r="F79" i="17" s="1"/>
  <c r="K81" i="4"/>
  <c r="J81" i="4"/>
  <c r="E78" i="16" s="1"/>
  <c r="E79" i="17" s="1"/>
  <c r="I81" i="4"/>
  <c r="H81" i="4"/>
  <c r="D78" i="16" s="1"/>
  <c r="D79" i="17" s="1"/>
  <c r="W80" i="4"/>
  <c r="V80" i="4"/>
  <c r="K77" i="16" s="1"/>
  <c r="K78" i="17" s="1"/>
  <c r="U80" i="4"/>
  <c r="T80" i="4"/>
  <c r="I77" i="16" s="1"/>
  <c r="I78" i="17" s="1"/>
  <c r="S80" i="4"/>
  <c r="R80" i="4"/>
  <c r="J77" i="16" s="1"/>
  <c r="J78" i="17" s="1"/>
  <c r="Q80" i="4"/>
  <c r="P80" i="4"/>
  <c r="H77" i="16" s="1"/>
  <c r="H78" i="17" s="1"/>
  <c r="O80" i="4"/>
  <c r="N80" i="4"/>
  <c r="G77" i="16" s="1"/>
  <c r="G78" i="17" s="1"/>
  <c r="M80" i="4"/>
  <c r="L80" i="4"/>
  <c r="F77" i="16" s="1"/>
  <c r="F78" i="17" s="1"/>
  <c r="K80" i="4"/>
  <c r="J80" i="4"/>
  <c r="E77" i="16" s="1"/>
  <c r="E78" i="17" s="1"/>
  <c r="I80" i="4"/>
  <c r="H80" i="4"/>
  <c r="D77" i="16" s="1"/>
  <c r="D78" i="17" s="1"/>
  <c r="W79" i="4"/>
  <c r="V79" i="4"/>
  <c r="K76" i="16" s="1"/>
  <c r="K77" i="17" s="1"/>
  <c r="U79" i="4"/>
  <c r="T79" i="4"/>
  <c r="I76" i="16" s="1"/>
  <c r="I77" i="17" s="1"/>
  <c r="S79" i="4"/>
  <c r="R79" i="4"/>
  <c r="J76" i="16" s="1"/>
  <c r="J77" i="17" s="1"/>
  <c r="Q79" i="4"/>
  <c r="P79" i="4"/>
  <c r="H76" i="16" s="1"/>
  <c r="H77" i="17" s="1"/>
  <c r="O79" i="4"/>
  <c r="N79" i="4"/>
  <c r="G76" i="16" s="1"/>
  <c r="G77" i="17" s="1"/>
  <c r="M79" i="4"/>
  <c r="L79" i="4"/>
  <c r="F76" i="16" s="1"/>
  <c r="F77" i="17" s="1"/>
  <c r="K79" i="4"/>
  <c r="J79" i="4"/>
  <c r="E76" i="16" s="1"/>
  <c r="E77" i="17" s="1"/>
  <c r="I79" i="4"/>
  <c r="H79" i="4"/>
  <c r="D76" i="16" s="1"/>
  <c r="D77" i="17" s="1"/>
  <c r="W78" i="4"/>
  <c r="V78" i="4"/>
  <c r="K75" i="16" s="1"/>
  <c r="K76" i="17" s="1"/>
  <c r="U78" i="4"/>
  <c r="T78" i="4"/>
  <c r="I75" i="16" s="1"/>
  <c r="I76" i="17" s="1"/>
  <c r="S78" i="4"/>
  <c r="R78" i="4"/>
  <c r="J75" i="16" s="1"/>
  <c r="J76" i="17" s="1"/>
  <c r="Q78" i="4"/>
  <c r="P78" i="4"/>
  <c r="H75" i="16" s="1"/>
  <c r="H76" i="17" s="1"/>
  <c r="O78" i="4"/>
  <c r="N78" i="4"/>
  <c r="G75" i="16" s="1"/>
  <c r="G76" i="17" s="1"/>
  <c r="M78" i="4"/>
  <c r="L78" i="4"/>
  <c r="F75" i="16" s="1"/>
  <c r="F76" i="17" s="1"/>
  <c r="K78" i="4"/>
  <c r="J78" i="4"/>
  <c r="E75" i="16" s="1"/>
  <c r="E76" i="17" s="1"/>
  <c r="I78" i="4"/>
  <c r="H78" i="4"/>
  <c r="D75" i="16" s="1"/>
  <c r="D76" i="17" s="1"/>
  <c r="W77" i="4"/>
  <c r="V77" i="4"/>
  <c r="K74" i="16" s="1"/>
  <c r="K75" i="17" s="1"/>
  <c r="U77" i="4"/>
  <c r="T77" i="4"/>
  <c r="I74" i="16" s="1"/>
  <c r="I75" i="17" s="1"/>
  <c r="S77" i="4"/>
  <c r="R77" i="4"/>
  <c r="J74" i="16" s="1"/>
  <c r="J75" i="17" s="1"/>
  <c r="Q77" i="4"/>
  <c r="P77" i="4"/>
  <c r="H74" i="16" s="1"/>
  <c r="H75" i="17" s="1"/>
  <c r="O77" i="4"/>
  <c r="N77" i="4"/>
  <c r="G74" i="16" s="1"/>
  <c r="G75" i="17" s="1"/>
  <c r="M77" i="4"/>
  <c r="L77" i="4"/>
  <c r="F74" i="16" s="1"/>
  <c r="F75" i="17" s="1"/>
  <c r="K77" i="4"/>
  <c r="J77" i="4"/>
  <c r="E74" i="16" s="1"/>
  <c r="E75" i="17" s="1"/>
  <c r="I77" i="4"/>
  <c r="H77" i="4"/>
  <c r="D74" i="16" s="1"/>
  <c r="D75" i="17" s="1"/>
  <c r="Q10" i="17" s="1"/>
  <c r="W76" i="4"/>
  <c r="V76" i="4"/>
  <c r="K73" i="16" s="1"/>
  <c r="K74" i="17" s="1"/>
  <c r="U76" i="4"/>
  <c r="T76" i="4"/>
  <c r="I73" i="16" s="1"/>
  <c r="I74" i="17" s="1"/>
  <c r="S76" i="4"/>
  <c r="R76" i="4"/>
  <c r="J73" i="16" s="1"/>
  <c r="J74" i="17" s="1"/>
  <c r="Q76" i="4"/>
  <c r="P76" i="4"/>
  <c r="H73" i="16" s="1"/>
  <c r="H74" i="17" s="1"/>
  <c r="O76" i="4"/>
  <c r="N76" i="4"/>
  <c r="G73" i="16" s="1"/>
  <c r="G74" i="17" s="1"/>
  <c r="M76" i="4"/>
  <c r="L76" i="4"/>
  <c r="F73" i="16" s="1"/>
  <c r="F74" i="17" s="1"/>
  <c r="K76" i="4"/>
  <c r="J76" i="4"/>
  <c r="E73" i="16" s="1"/>
  <c r="E74" i="17" s="1"/>
  <c r="I76" i="4"/>
  <c r="H76" i="4"/>
  <c r="D73" i="16" s="1"/>
  <c r="D74" i="17" s="1"/>
  <c r="Q9" i="17" s="1"/>
  <c r="W75" i="4"/>
  <c r="V75" i="4"/>
  <c r="K72" i="16" s="1"/>
  <c r="K73" i="17" s="1"/>
  <c r="U75" i="4"/>
  <c r="T75" i="4"/>
  <c r="I72" i="16" s="1"/>
  <c r="I73" i="17" s="1"/>
  <c r="S75" i="4"/>
  <c r="R75" i="4"/>
  <c r="J72" i="16" s="1"/>
  <c r="J73" i="17" s="1"/>
  <c r="Q75" i="4"/>
  <c r="P75" i="4"/>
  <c r="H72" i="16" s="1"/>
  <c r="H73" i="17" s="1"/>
  <c r="W7" i="17" s="1"/>
  <c r="O75" i="4"/>
  <c r="N75" i="4"/>
  <c r="G72" i="16" s="1"/>
  <c r="G73" i="17" s="1"/>
  <c r="M75" i="4"/>
  <c r="L75" i="4"/>
  <c r="F72" i="16" s="1"/>
  <c r="F73" i="17" s="1"/>
  <c r="K75" i="4"/>
  <c r="J75" i="4"/>
  <c r="E72" i="16" s="1"/>
  <c r="E73" i="17" s="1"/>
  <c r="I75" i="4"/>
  <c r="H75" i="4"/>
  <c r="D72" i="16" s="1"/>
  <c r="D73" i="17" s="1"/>
  <c r="W74" i="4"/>
  <c r="V74" i="4"/>
  <c r="K71" i="16" s="1"/>
  <c r="K72" i="17" s="1"/>
  <c r="U74" i="4"/>
  <c r="T74" i="4"/>
  <c r="I71" i="16" s="1"/>
  <c r="I72" i="17" s="1"/>
  <c r="S74" i="4"/>
  <c r="R74" i="4"/>
  <c r="J71" i="16" s="1"/>
  <c r="J72" i="17" s="1"/>
  <c r="Q74" i="4"/>
  <c r="P74" i="4"/>
  <c r="H71" i="16" s="1"/>
  <c r="H72" i="17" s="1"/>
  <c r="O74" i="4"/>
  <c r="N74" i="4"/>
  <c r="G71" i="16" s="1"/>
  <c r="G72" i="17" s="1"/>
  <c r="M74" i="4"/>
  <c r="L74" i="4"/>
  <c r="F71" i="16" s="1"/>
  <c r="F72" i="17" s="1"/>
  <c r="K74" i="4"/>
  <c r="J74" i="4"/>
  <c r="E71" i="16" s="1"/>
  <c r="E72" i="17" s="1"/>
  <c r="I74" i="4"/>
  <c r="H74" i="4"/>
  <c r="D71" i="16" s="1"/>
  <c r="D72" i="17" s="1"/>
  <c r="W73" i="4"/>
  <c r="V73" i="4"/>
  <c r="K70" i="16" s="1"/>
  <c r="K71" i="17" s="1"/>
  <c r="U73" i="4"/>
  <c r="T73" i="4"/>
  <c r="I70" i="16" s="1"/>
  <c r="I71" i="17" s="1"/>
  <c r="S73" i="4"/>
  <c r="R73" i="4"/>
  <c r="J70" i="16" s="1"/>
  <c r="J71" i="17" s="1"/>
  <c r="Q73" i="4"/>
  <c r="P73" i="4"/>
  <c r="H70" i="16" s="1"/>
  <c r="H71" i="17" s="1"/>
  <c r="O73" i="4"/>
  <c r="N73" i="4"/>
  <c r="G70" i="16" s="1"/>
  <c r="G71" i="17" s="1"/>
  <c r="M73" i="4"/>
  <c r="L73" i="4"/>
  <c r="F70" i="16" s="1"/>
  <c r="F71" i="17" s="1"/>
  <c r="K73" i="4"/>
  <c r="J73" i="4"/>
  <c r="E70" i="16" s="1"/>
  <c r="E71" i="17" s="1"/>
  <c r="I73" i="4"/>
  <c r="H73" i="4"/>
  <c r="D70" i="16" s="1"/>
  <c r="D71" i="17" s="1"/>
  <c r="W72" i="4"/>
  <c r="V72" i="4"/>
  <c r="K69" i="16" s="1"/>
  <c r="K70" i="17" s="1"/>
  <c r="U72" i="4"/>
  <c r="T72" i="4"/>
  <c r="I69" i="16" s="1"/>
  <c r="I70" i="17" s="1"/>
  <c r="S72" i="4"/>
  <c r="R72" i="4"/>
  <c r="J69" i="16" s="1"/>
  <c r="J70" i="17" s="1"/>
  <c r="Q72" i="4"/>
  <c r="P72" i="4"/>
  <c r="H69" i="16" s="1"/>
  <c r="H70" i="17" s="1"/>
  <c r="O72" i="4"/>
  <c r="N72" i="4"/>
  <c r="G69" i="16" s="1"/>
  <c r="G70" i="17" s="1"/>
  <c r="M72" i="4"/>
  <c r="L72" i="4"/>
  <c r="F69" i="16" s="1"/>
  <c r="F70" i="17" s="1"/>
  <c r="K72" i="4"/>
  <c r="J72" i="4"/>
  <c r="E69" i="16" s="1"/>
  <c r="E70" i="17" s="1"/>
  <c r="I72" i="4"/>
  <c r="H72" i="4"/>
  <c r="D69" i="16" s="1"/>
  <c r="D70" i="17" s="1"/>
  <c r="Q8" i="17" s="1"/>
  <c r="W71" i="4"/>
  <c r="V71" i="4"/>
  <c r="K68" i="16" s="1"/>
  <c r="K69" i="17" s="1"/>
  <c r="U71" i="4"/>
  <c r="T71" i="4"/>
  <c r="I68" i="16" s="1"/>
  <c r="I69" i="17" s="1"/>
  <c r="S71" i="4"/>
  <c r="R71" i="4"/>
  <c r="J68" i="16" s="1"/>
  <c r="J69" i="17" s="1"/>
  <c r="Q71" i="4"/>
  <c r="P71" i="4"/>
  <c r="H68" i="16" s="1"/>
  <c r="H69" i="17" s="1"/>
  <c r="O71" i="4"/>
  <c r="N71" i="4"/>
  <c r="G68" i="16" s="1"/>
  <c r="G69" i="17" s="1"/>
  <c r="M71" i="4"/>
  <c r="L71" i="4"/>
  <c r="F68" i="16" s="1"/>
  <c r="F69" i="17" s="1"/>
  <c r="K71" i="4"/>
  <c r="J71" i="4"/>
  <c r="E68" i="16" s="1"/>
  <c r="E69" i="17" s="1"/>
  <c r="I71" i="4"/>
  <c r="H71" i="4"/>
  <c r="D68" i="16" s="1"/>
  <c r="D69" i="17" s="1"/>
  <c r="Q7" i="17" s="1"/>
  <c r="W70" i="4"/>
  <c r="V70" i="4"/>
  <c r="K67" i="16" s="1"/>
  <c r="K68" i="17" s="1"/>
  <c r="U70" i="4"/>
  <c r="T70" i="4"/>
  <c r="I67" i="16" s="1"/>
  <c r="I68" i="17" s="1"/>
  <c r="S70" i="4"/>
  <c r="R70" i="4"/>
  <c r="J67" i="16" s="1"/>
  <c r="J68" i="17" s="1"/>
  <c r="Q70" i="4"/>
  <c r="P70" i="4"/>
  <c r="H67" i="16" s="1"/>
  <c r="H68" i="17" s="1"/>
  <c r="O70" i="4"/>
  <c r="N70" i="4"/>
  <c r="G67" i="16" s="1"/>
  <c r="G68" i="17" s="1"/>
  <c r="M70" i="4"/>
  <c r="L70" i="4"/>
  <c r="F67" i="16" s="1"/>
  <c r="F68" i="17" s="1"/>
  <c r="K70" i="4"/>
  <c r="J70" i="4"/>
  <c r="E67" i="16" s="1"/>
  <c r="E68" i="17" s="1"/>
  <c r="I70" i="4"/>
  <c r="H70" i="4"/>
  <c r="D67" i="16" s="1"/>
  <c r="D68" i="17" s="1"/>
  <c r="Q6" i="17" s="1"/>
  <c r="W69" i="4"/>
  <c r="V69" i="4"/>
  <c r="K66" i="16" s="1"/>
  <c r="K67" i="17" s="1"/>
  <c r="U69" i="4"/>
  <c r="T69" i="4"/>
  <c r="I66" i="16" s="1"/>
  <c r="I67" i="17" s="1"/>
  <c r="S69" i="4"/>
  <c r="R69" i="4"/>
  <c r="J66" i="16" s="1"/>
  <c r="J67" i="17" s="1"/>
  <c r="Q69" i="4"/>
  <c r="P69" i="4"/>
  <c r="H66" i="16" s="1"/>
  <c r="H67" i="17" s="1"/>
  <c r="O69" i="4"/>
  <c r="N69" i="4"/>
  <c r="G66" i="16" s="1"/>
  <c r="G67" i="17" s="1"/>
  <c r="M69" i="4"/>
  <c r="L69" i="4"/>
  <c r="F66" i="16" s="1"/>
  <c r="F67" i="17" s="1"/>
  <c r="K69" i="4"/>
  <c r="J69" i="4"/>
  <c r="E66" i="16" s="1"/>
  <c r="E67" i="17" s="1"/>
  <c r="I69" i="4"/>
  <c r="H69" i="4"/>
  <c r="D66" i="16" s="1"/>
  <c r="D67" i="17" s="1"/>
  <c r="W68" i="4"/>
  <c r="V68" i="4"/>
  <c r="K65" i="16" s="1"/>
  <c r="K66" i="17" s="1"/>
  <c r="U68" i="4"/>
  <c r="T68" i="4"/>
  <c r="I65" i="16" s="1"/>
  <c r="I66" i="17" s="1"/>
  <c r="S68" i="4"/>
  <c r="R68" i="4"/>
  <c r="J65" i="16" s="1"/>
  <c r="J66" i="17" s="1"/>
  <c r="Q68" i="4"/>
  <c r="P68" i="4"/>
  <c r="H65" i="16" s="1"/>
  <c r="H66" i="17" s="1"/>
  <c r="O68" i="4"/>
  <c r="N68" i="4"/>
  <c r="G65" i="16" s="1"/>
  <c r="G66" i="17" s="1"/>
  <c r="M68" i="4"/>
  <c r="L68" i="4"/>
  <c r="F65" i="16" s="1"/>
  <c r="F66" i="17" s="1"/>
  <c r="K68" i="4"/>
  <c r="J68" i="4"/>
  <c r="E65" i="16" s="1"/>
  <c r="E66" i="17" s="1"/>
  <c r="I68" i="4"/>
  <c r="H68" i="4"/>
  <c r="D65" i="16" s="1"/>
  <c r="D66" i="17" s="1"/>
  <c r="W67" i="4"/>
  <c r="V67" i="4"/>
  <c r="K64" i="16" s="1"/>
  <c r="K65" i="17" s="1"/>
  <c r="U67" i="4"/>
  <c r="T67" i="4"/>
  <c r="I64" i="16" s="1"/>
  <c r="I65" i="17" s="1"/>
  <c r="S67" i="4"/>
  <c r="R67" i="4"/>
  <c r="J64" i="16" s="1"/>
  <c r="J65" i="17" s="1"/>
  <c r="Q67" i="4"/>
  <c r="P67" i="4"/>
  <c r="H64" i="16" s="1"/>
  <c r="H65" i="17" s="1"/>
  <c r="O67" i="4"/>
  <c r="N67" i="4"/>
  <c r="G64" i="16" s="1"/>
  <c r="G65" i="17" s="1"/>
  <c r="M67" i="4"/>
  <c r="L67" i="4"/>
  <c r="F64" i="16" s="1"/>
  <c r="F65" i="17" s="1"/>
  <c r="K67" i="4"/>
  <c r="J67" i="4"/>
  <c r="E64" i="16" s="1"/>
  <c r="E65" i="17" s="1"/>
  <c r="I67" i="4"/>
  <c r="H67" i="4"/>
  <c r="D64" i="16" s="1"/>
  <c r="D65" i="17" s="1"/>
  <c r="W66" i="4"/>
  <c r="V66" i="4"/>
  <c r="K63" i="16" s="1"/>
  <c r="K64" i="17" s="1"/>
  <c r="U66" i="4"/>
  <c r="T66" i="4"/>
  <c r="I63" i="16" s="1"/>
  <c r="I64" i="17" s="1"/>
  <c r="S66" i="4"/>
  <c r="R66" i="4"/>
  <c r="J63" i="16" s="1"/>
  <c r="J64" i="17" s="1"/>
  <c r="Q66" i="4"/>
  <c r="P66" i="4"/>
  <c r="H63" i="16" s="1"/>
  <c r="H64" i="17" s="1"/>
  <c r="O66" i="4"/>
  <c r="N66" i="4"/>
  <c r="G63" i="16" s="1"/>
  <c r="G64" i="17" s="1"/>
  <c r="M66" i="4"/>
  <c r="L66" i="4"/>
  <c r="F63" i="16" s="1"/>
  <c r="F64" i="17" s="1"/>
  <c r="K66" i="4"/>
  <c r="J66" i="4"/>
  <c r="E63" i="16" s="1"/>
  <c r="E64" i="17" s="1"/>
  <c r="I66" i="4"/>
  <c r="H66" i="4"/>
  <c r="D63" i="16" s="1"/>
  <c r="D64" i="17" s="1"/>
  <c r="W65" i="4"/>
  <c r="V65" i="4"/>
  <c r="K62" i="16" s="1"/>
  <c r="K63" i="17" s="1"/>
  <c r="U65" i="4"/>
  <c r="T65" i="4"/>
  <c r="I62" i="16" s="1"/>
  <c r="I63" i="17" s="1"/>
  <c r="S65" i="4"/>
  <c r="R65" i="4"/>
  <c r="J62" i="16" s="1"/>
  <c r="J63" i="17" s="1"/>
  <c r="Q65" i="4"/>
  <c r="P65" i="4"/>
  <c r="H62" i="16" s="1"/>
  <c r="H63" i="17" s="1"/>
  <c r="O65" i="4"/>
  <c r="N65" i="4"/>
  <c r="G62" i="16" s="1"/>
  <c r="G63" i="17" s="1"/>
  <c r="M65" i="4"/>
  <c r="L65" i="4"/>
  <c r="F62" i="16" s="1"/>
  <c r="F63" i="17" s="1"/>
  <c r="K65" i="4"/>
  <c r="J65" i="4"/>
  <c r="E62" i="16" s="1"/>
  <c r="E63" i="17" s="1"/>
  <c r="I65" i="4"/>
  <c r="H65" i="4"/>
  <c r="D62" i="16" s="1"/>
  <c r="D63" i="17" s="1"/>
  <c r="W64" i="4"/>
  <c r="V64" i="4"/>
  <c r="K61" i="16" s="1"/>
  <c r="K62" i="17" s="1"/>
  <c r="U64" i="4"/>
  <c r="T64" i="4"/>
  <c r="I61" i="16" s="1"/>
  <c r="I62" i="17" s="1"/>
  <c r="S64" i="4"/>
  <c r="R64" i="4"/>
  <c r="J61" i="16" s="1"/>
  <c r="J62" i="17" s="1"/>
  <c r="Q64" i="4"/>
  <c r="P64" i="4"/>
  <c r="H61" i="16" s="1"/>
  <c r="H62" i="17" s="1"/>
  <c r="O64" i="4"/>
  <c r="N64" i="4"/>
  <c r="G61" i="16" s="1"/>
  <c r="G62" i="17" s="1"/>
  <c r="M64" i="4"/>
  <c r="L64" i="4"/>
  <c r="F61" i="16" s="1"/>
  <c r="F62" i="17" s="1"/>
  <c r="K64" i="4"/>
  <c r="J64" i="4"/>
  <c r="E61" i="16" s="1"/>
  <c r="E62" i="17" s="1"/>
  <c r="I64" i="4"/>
  <c r="H64" i="4"/>
  <c r="D61" i="16" s="1"/>
  <c r="D62" i="17" s="1"/>
  <c r="W63" i="4"/>
  <c r="V63" i="4"/>
  <c r="K60" i="16" s="1"/>
  <c r="K61" i="17" s="1"/>
  <c r="U63" i="4"/>
  <c r="T63" i="4"/>
  <c r="I60" i="16" s="1"/>
  <c r="I61" i="17" s="1"/>
  <c r="S63" i="4"/>
  <c r="R63" i="4"/>
  <c r="J60" i="16" s="1"/>
  <c r="J61" i="17" s="1"/>
  <c r="Q63" i="4"/>
  <c r="P63" i="4"/>
  <c r="H60" i="16" s="1"/>
  <c r="H61" i="17" s="1"/>
  <c r="O63" i="4"/>
  <c r="N63" i="4"/>
  <c r="G60" i="16" s="1"/>
  <c r="G61" i="17" s="1"/>
  <c r="M63" i="4"/>
  <c r="L63" i="4"/>
  <c r="F60" i="16" s="1"/>
  <c r="F61" i="17" s="1"/>
  <c r="K63" i="4"/>
  <c r="J63" i="4"/>
  <c r="E60" i="16" s="1"/>
  <c r="E61" i="17" s="1"/>
  <c r="I63" i="4"/>
  <c r="H63" i="4"/>
  <c r="D60" i="16" s="1"/>
  <c r="D61" i="17" s="1"/>
  <c r="W62" i="4"/>
  <c r="V62" i="4"/>
  <c r="K59" i="16" s="1"/>
  <c r="K60" i="17" s="1"/>
  <c r="U62" i="4"/>
  <c r="T62" i="4"/>
  <c r="I59" i="16" s="1"/>
  <c r="I60" i="17" s="1"/>
  <c r="S62" i="4"/>
  <c r="R62" i="4"/>
  <c r="J59" i="16" s="1"/>
  <c r="J60" i="17" s="1"/>
  <c r="Q62" i="4"/>
  <c r="P62" i="4"/>
  <c r="H59" i="16" s="1"/>
  <c r="H60" i="17" s="1"/>
  <c r="O62" i="4"/>
  <c r="N62" i="4"/>
  <c r="G59" i="16" s="1"/>
  <c r="G60" i="17" s="1"/>
  <c r="M62" i="4"/>
  <c r="L62" i="4"/>
  <c r="F59" i="16" s="1"/>
  <c r="F60" i="17" s="1"/>
  <c r="K62" i="4"/>
  <c r="J62" i="4"/>
  <c r="E59" i="16" s="1"/>
  <c r="E60" i="17" s="1"/>
  <c r="I62" i="4"/>
  <c r="H62" i="4"/>
  <c r="D59" i="16" s="1"/>
  <c r="D60" i="17" s="1"/>
  <c r="Q11" i="17" s="1"/>
  <c r="W61" i="4"/>
  <c r="V61" i="4"/>
  <c r="K58" i="16" s="1"/>
  <c r="K59" i="17" s="1"/>
  <c r="U61" i="4"/>
  <c r="T61" i="4"/>
  <c r="I58" i="16" s="1"/>
  <c r="I59" i="17" s="1"/>
  <c r="S61" i="4"/>
  <c r="R61" i="4"/>
  <c r="J58" i="16" s="1"/>
  <c r="J59" i="17" s="1"/>
  <c r="Q61" i="4"/>
  <c r="P61" i="4"/>
  <c r="H58" i="16" s="1"/>
  <c r="H59" i="17" s="1"/>
  <c r="O61" i="4"/>
  <c r="N61" i="4"/>
  <c r="G58" i="16" s="1"/>
  <c r="G59" i="17" s="1"/>
  <c r="M61" i="4"/>
  <c r="L61" i="4"/>
  <c r="F58" i="16" s="1"/>
  <c r="F59" i="17" s="1"/>
  <c r="K61" i="4"/>
  <c r="J61" i="4"/>
  <c r="E58" i="16" s="1"/>
  <c r="E59" i="17" s="1"/>
  <c r="I61" i="4"/>
  <c r="H61" i="4"/>
  <c r="D58" i="16" s="1"/>
  <c r="D59" i="17" s="1"/>
  <c r="W60" i="4"/>
  <c r="V60" i="4"/>
  <c r="K57" i="16" s="1"/>
  <c r="K58" i="17" s="1"/>
  <c r="U60" i="4"/>
  <c r="T60" i="4"/>
  <c r="I57" i="16" s="1"/>
  <c r="I58" i="17" s="1"/>
  <c r="S60" i="4"/>
  <c r="R60" i="4"/>
  <c r="J57" i="16" s="1"/>
  <c r="J58" i="17" s="1"/>
  <c r="Q60" i="4"/>
  <c r="P60" i="4"/>
  <c r="H57" i="16" s="1"/>
  <c r="H58" i="17" s="1"/>
  <c r="O60" i="4"/>
  <c r="N60" i="4"/>
  <c r="G57" i="16" s="1"/>
  <c r="G58" i="17" s="1"/>
  <c r="M60" i="4"/>
  <c r="L60" i="4"/>
  <c r="F57" i="16" s="1"/>
  <c r="F58" i="17" s="1"/>
  <c r="K60" i="4"/>
  <c r="J60" i="4"/>
  <c r="E57" i="16" s="1"/>
  <c r="E58" i="17" s="1"/>
  <c r="I60" i="4"/>
  <c r="H60" i="4"/>
  <c r="D57" i="16" s="1"/>
  <c r="D58" i="17" s="1"/>
  <c r="W59" i="4"/>
  <c r="V59" i="4"/>
  <c r="K56" i="16" s="1"/>
  <c r="K57" i="17" s="1"/>
  <c r="U59" i="4"/>
  <c r="T59" i="4"/>
  <c r="I56" i="16" s="1"/>
  <c r="I57" i="17" s="1"/>
  <c r="S59" i="4"/>
  <c r="R59" i="4"/>
  <c r="J56" i="16" s="1"/>
  <c r="J57" i="17" s="1"/>
  <c r="Q59" i="4"/>
  <c r="P59" i="4"/>
  <c r="H56" i="16" s="1"/>
  <c r="H57" i="17" s="1"/>
  <c r="O59" i="4"/>
  <c r="N59" i="4"/>
  <c r="G56" i="16" s="1"/>
  <c r="G57" i="17" s="1"/>
  <c r="M59" i="4"/>
  <c r="L59" i="4"/>
  <c r="F56" i="16" s="1"/>
  <c r="F57" i="17" s="1"/>
  <c r="K59" i="4"/>
  <c r="J59" i="4"/>
  <c r="E56" i="16" s="1"/>
  <c r="E57" i="17" s="1"/>
  <c r="I59" i="4"/>
  <c r="H59" i="4"/>
  <c r="D56" i="16" s="1"/>
  <c r="D57" i="17" s="1"/>
  <c r="W58" i="4"/>
  <c r="V58" i="4"/>
  <c r="K55" i="16" s="1"/>
  <c r="K56" i="17" s="1"/>
  <c r="U58" i="4"/>
  <c r="T58" i="4"/>
  <c r="I55" i="16" s="1"/>
  <c r="I56" i="17" s="1"/>
  <c r="S58" i="4"/>
  <c r="R58" i="4"/>
  <c r="J55" i="16" s="1"/>
  <c r="J56" i="17" s="1"/>
  <c r="Q58" i="4"/>
  <c r="P58" i="4"/>
  <c r="H55" i="16" s="1"/>
  <c r="H56" i="17" s="1"/>
  <c r="O58" i="4"/>
  <c r="N58" i="4"/>
  <c r="G55" i="16" s="1"/>
  <c r="G56" i="17" s="1"/>
  <c r="M58" i="4"/>
  <c r="L58" i="4"/>
  <c r="F55" i="16" s="1"/>
  <c r="F56" i="17" s="1"/>
  <c r="K58" i="4"/>
  <c r="J58" i="4"/>
  <c r="E55" i="16" s="1"/>
  <c r="E56" i="17" s="1"/>
  <c r="I58" i="4"/>
  <c r="H58" i="4"/>
  <c r="D55" i="16" s="1"/>
  <c r="D56" i="17" s="1"/>
  <c r="W57" i="4"/>
  <c r="V57" i="4"/>
  <c r="K54" i="16" s="1"/>
  <c r="K55" i="17" s="1"/>
  <c r="U57" i="4"/>
  <c r="T57" i="4"/>
  <c r="I54" i="16" s="1"/>
  <c r="I55" i="17" s="1"/>
  <c r="S57" i="4"/>
  <c r="R57" i="4"/>
  <c r="J54" i="16" s="1"/>
  <c r="J55" i="17" s="1"/>
  <c r="Q57" i="4"/>
  <c r="P57" i="4"/>
  <c r="H54" i="16" s="1"/>
  <c r="H55" i="17" s="1"/>
  <c r="O57" i="4"/>
  <c r="N57" i="4"/>
  <c r="G54" i="16" s="1"/>
  <c r="G55" i="17" s="1"/>
  <c r="M57" i="4"/>
  <c r="L57" i="4"/>
  <c r="F54" i="16" s="1"/>
  <c r="F55" i="17" s="1"/>
  <c r="K57" i="4"/>
  <c r="J57" i="4"/>
  <c r="E54" i="16" s="1"/>
  <c r="E55" i="17" s="1"/>
  <c r="I57" i="4"/>
  <c r="H57" i="4"/>
  <c r="D54" i="16" s="1"/>
  <c r="D55" i="17" s="1"/>
  <c r="W56" i="4"/>
  <c r="V56" i="4"/>
  <c r="K53" i="16" s="1"/>
  <c r="K54" i="17" s="1"/>
  <c r="U56" i="4"/>
  <c r="T56" i="4"/>
  <c r="I53" i="16" s="1"/>
  <c r="I54" i="17" s="1"/>
  <c r="S56" i="4"/>
  <c r="R56" i="4"/>
  <c r="J53" i="16" s="1"/>
  <c r="J54" i="17" s="1"/>
  <c r="Q56" i="4"/>
  <c r="P56" i="4"/>
  <c r="H53" i="16" s="1"/>
  <c r="H54" i="17" s="1"/>
  <c r="O56" i="4"/>
  <c r="N56" i="4"/>
  <c r="G53" i="16" s="1"/>
  <c r="G54" i="17" s="1"/>
  <c r="M56" i="4"/>
  <c r="L56" i="4"/>
  <c r="F53" i="16" s="1"/>
  <c r="F54" i="17" s="1"/>
  <c r="K56" i="4"/>
  <c r="J56" i="4"/>
  <c r="E53" i="16" s="1"/>
  <c r="E54" i="17" s="1"/>
  <c r="I56" i="4"/>
  <c r="H56" i="4"/>
  <c r="D53" i="16" s="1"/>
  <c r="D54" i="17" s="1"/>
  <c r="W55" i="4"/>
  <c r="V55" i="4"/>
  <c r="K52" i="16" s="1"/>
  <c r="K53" i="17" s="1"/>
  <c r="U55" i="4"/>
  <c r="T55" i="4"/>
  <c r="I52" i="16" s="1"/>
  <c r="I53" i="17" s="1"/>
  <c r="S55" i="4"/>
  <c r="R55" i="4"/>
  <c r="J52" i="16" s="1"/>
  <c r="J53" i="17" s="1"/>
  <c r="Q55" i="4"/>
  <c r="P55" i="4"/>
  <c r="H52" i="16" s="1"/>
  <c r="H53" i="17" s="1"/>
  <c r="O55" i="4"/>
  <c r="N55" i="4"/>
  <c r="G52" i="16" s="1"/>
  <c r="G53" i="17" s="1"/>
  <c r="M55" i="4"/>
  <c r="L55" i="4"/>
  <c r="F52" i="16" s="1"/>
  <c r="F53" i="17" s="1"/>
  <c r="K55" i="4"/>
  <c r="J55" i="4"/>
  <c r="E52" i="16" s="1"/>
  <c r="E53" i="17" s="1"/>
  <c r="I55" i="4"/>
  <c r="H55" i="4"/>
  <c r="D52" i="16" s="1"/>
  <c r="D53" i="17" s="1"/>
  <c r="W54" i="4"/>
  <c r="V54" i="4"/>
  <c r="K51" i="16" s="1"/>
  <c r="K52" i="17" s="1"/>
  <c r="U54" i="4"/>
  <c r="T54" i="4"/>
  <c r="I51" i="16" s="1"/>
  <c r="I52" i="17" s="1"/>
  <c r="S54" i="4"/>
  <c r="R54" i="4"/>
  <c r="J51" i="16" s="1"/>
  <c r="J52" i="17" s="1"/>
  <c r="Q54" i="4"/>
  <c r="P54" i="4"/>
  <c r="H51" i="16" s="1"/>
  <c r="H52" i="17" s="1"/>
  <c r="O54" i="4"/>
  <c r="N54" i="4"/>
  <c r="G51" i="16" s="1"/>
  <c r="G52" i="17" s="1"/>
  <c r="M54" i="4"/>
  <c r="L54" i="4"/>
  <c r="F51" i="16" s="1"/>
  <c r="F52" i="17" s="1"/>
  <c r="K54" i="4"/>
  <c r="J54" i="4"/>
  <c r="E51" i="16" s="1"/>
  <c r="E52" i="17" s="1"/>
  <c r="I54" i="4"/>
  <c r="H54" i="4"/>
  <c r="D51" i="16" s="1"/>
  <c r="D52" i="17" s="1"/>
  <c r="W53" i="4"/>
  <c r="V53" i="4"/>
  <c r="K50" i="16" s="1"/>
  <c r="K51" i="17" s="1"/>
  <c r="U53" i="4"/>
  <c r="T53" i="4"/>
  <c r="I50" i="16" s="1"/>
  <c r="I51" i="17" s="1"/>
  <c r="S53" i="4"/>
  <c r="R53" i="4"/>
  <c r="J50" i="16" s="1"/>
  <c r="J51" i="17" s="1"/>
  <c r="Q53" i="4"/>
  <c r="P53" i="4"/>
  <c r="H50" i="16" s="1"/>
  <c r="H51" i="17" s="1"/>
  <c r="O53" i="4"/>
  <c r="N53" i="4"/>
  <c r="G50" i="16" s="1"/>
  <c r="G51" i="17" s="1"/>
  <c r="M53" i="4"/>
  <c r="L53" i="4"/>
  <c r="F50" i="16" s="1"/>
  <c r="F51" i="17" s="1"/>
  <c r="K53" i="4"/>
  <c r="J53" i="4"/>
  <c r="E50" i="16" s="1"/>
  <c r="E51" i="17" s="1"/>
  <c r="I53" i="4"/>
  <c r="H53" i="4"/>
  <c r="D50" i="16" s="1"/>
  <c r="D51" i="17" s="1"/>
  <c r="Q20" i="17" s="1"/>
  <c r="W52" i="4"/>
  <c r="V52" i="4"/>
  <c r="K49" i="16" s="1"/>
  <c r="K50" i="17" s="1"/>
  <c r="U52" i="4"/>
  <c r="T52" i="4"/>
  <c r="I49" i="16" s="1"/>
  <c r="I50" i="17" s="1"/>
  <c r="S52" i="4"/>
  <c r="R52" i="4"/>
  <c r="J49" i="16" s="1"/>
  <c r="J50" i="17" s="1"/>
  <c r="Q52" i="4"/>
  <c r="P52" i="4"/>
  <c r="H49" i="16" s="1"/>
  <c r="H50" i="17" s="1"/>
  <c r="O52" i="4"/>
  <c r="N52" i="4"/>
  <c r="G49" i="16" s="1"/>
  <c r="G50" i="17" s="1"/>
  <c r="M52" i="4"/>
  <c r="L52" i="4"/>
  <c r="F49" i="16" s="1"/>
  <c r="F50" i="17" s="1"/>
  <c r="K52" i="4"/>
  <c r="J52" i="4"/>
  <c r="E49" i="16" s="1"/>
  <c r="E50" i="17" s="1"/>
  <c r="I52" i="4"/>
  <c r="H52" i="4"/>
  <c r="D49" i="16" s="1"/>
  <c r="D50" i="17" s="1"/>
  <c r="W51" i="4"/>
  <c r="V51" i="4"/>
  <c r="K48" i="16" s="1"/>
  <c r="K49" i="17" s="1"/>
  <c r="U51" i="4"/>
  <c r="T51" i="4"/>
  <c r="I48" i="16" s="1"/>
  <c r="I49" i="17" s="1"/>
  <c r="S51" i="4"/>
  <c r="R51" i="4"/>
  <c r="J48" i="16" s="1"/>
  <c r="J49" i="17" s="1"/>
  <c r="Q51" i="4"/>
  <c r="P51" i="4"/>
  <c r="H48" i="16" s="1"/>
  <c r="H49" i="17" s="1"/>
  <c r="O51" i="4"/>
  <c r="N51" i="4"/>
  <c r="G48" i="16" s="1"/>
  <c r="G49" i="17" s="1"/>
  <c r="M51" i="4"/>
  <c r="L51" i="4"/>
  <c r="F48" i="16" s="1"/>
  <c r="F49" i="17" s="1"/>
  <c r="K51" i="4"/>
  <c r="J51" i="4"/>
  <c r="E48" i="16" s="1"/>
  <c r="E49" i="17" s="1"/>
  <c r="I51" i="4"/>
  <c r="H51" i="4"/>
  <c r="D48" i="16" s="1"/>
  <c r="D49" i="17" s="1"/>
  <c r="Q23" i="17" s="1"/>
  <c r="W50" i="4"/>
  <c r="V50" i="4"/>
  <c r="K47" i="16" s="1"/>
  <c r="K48" i="17" s="1"/>
  <c r="U50" i="4"/>
  <c r="T50" i="4"/>
  <c r="I47" i="16" s="1"/>
  <c r="I48" i="17" s="1"/>
  <c r="S50" i="4"/>
  <c r="R50" i="4"/>
  <c r="J47" i="16" s="1"/>
  <c r="J48" i="17" s="1"/>
  <c r="Q50" i="4"/>
  <c r="P50" i="4"/>
  <c r="H47" i="16" s="1"/>
  <c r="H48" i="17" s="1"/>
  <c r="O50" i="4"/>
  <c r="N50" i="4"/>
  <c r="G47" i="16" s="1"/>
  <c r="G48" i="17" s="1"/>
  <c r="M50" i="4"/>
  <c r="L50" i="4"/>
  <c r="F47" i="16" s="1"/>
  <c r="F48" i="17" s="1"/>
  <c r="K50" i="4"/>
  <c r="J50" i="4"/>
  <c r="E47" i="16" s="1"/>
  <c r="E48" i="17" s="1"/>
  <c r="I50" i="4"/>
  <c r="H50" i="4"/>
  <c r="D47" i="16" s="1"/>
  <c r="D48" i="17" s="1"/>
  <c r="W49" i="4"/>
  <c r="V49" i="4"/>
  <c r="K46" i="16" s="1"/>
  <c r="K47" i="17" s="1"/>
  <c r="U49" i="4"/>
  <c r="T49" i="4"/>
  <c r="I46" i="16" s="1"/>
  <c r="I47" i="17" s="1"/>
  <c r="S49" i="4"/>
  <c r="R49" i="4"/>
  <c r="J46" i="16" s="1"/>
  <c r="J47" i="17" s="1"/>
  <c r="Q49" i="4"/>
  <c r="P49" i="4"/>
  <c r="H46" i="16" s="1"/>
  <c r="H47" i="17" s="1"/>
  <c r="O49" i="4"/>
  <c r="N49" i="4"/>
  <c r="G46" i="16" s="1"/>
  <c r="G47" i="17" s="1"/>
  <c r="M49" i="4"/>
  <c r="L49" i="4"/>
  <c r="F46" i="16" s="1"/>
  <c r="F47" i="17" s="1"/>
  <c r="K49" i="4"/>
  <c r="J49" i="4"/>
  <c r="E46" i="16" s="1"/>
  <c r="E47" i="17" s="1"/>
  <c r="I49" i="4"/>
  <c r="H49" i="4"/>
  <c r="D46" i="16" s="1"/>
  <c r="D47" i="17" s="1"/>
  <c r="W48" i="4"/>
  <c r="V48" i="4"/>
  <c r="K45" i="16" s="1"/>
  <c r="K46" i="17" s="1"/>
  <c r="U48" i="4"/>
  <c r="T48" i="4"/>
  <c r="I45" i="16" s="1"/>
  <c r="I46" i="17" s="1"/>
  <c r="S48" i="4"/>
  <c r="R48" i="4"/>
  <c r="J45" i="16" s="1"/>
  <c r="J46" i="17" s="1"/>
  <c r="Q48" i="4"/>
  <c r="P48" i="4"/>
  <c r="H45" i="16" s="1"/>
  <c r="H46" i="17" s="1"/>
  <c r="O48" i="4"/>
  <c r="N48" i="4"/>
  <c r="G45" i="16" s="1"/>
  <c r="G46" i="17" s="1"/>
  <c r="M48" i="4"/>
  <c r="L48" i="4"/>
  <c r="F45" i="16" s="1"/>
  <c r="F46" i="17" s="1"/>
  <c r="K48" i="4"/>
  <c r="J48" i="4"/>
  <c r="E45" i="16" s="1"/>
  <c r="E46" i="17" s="1"/>
  <c r="I48" i="4"/>
  <c r="H48" i="4"/>
  <c r="D45" i="16" s="1"/>
  <c r="D46" i="17" s="1"/>
  <c r="W47" i="4"/>
  <c r="V47" i="4"/>
  <c r="K44" i="16" s="1"/>
  <c r="K45" i="17" s="1"/>
  <c r="U47" i="4"/>
  <c r="T47" i="4"/>
  <c r="I44" i="16" s="1"/>
  <c r="I45" i="17" s="1"/>
  <c r="S47" i="4"/>
  <c r="R47" i="4"/>
  <c r="J44" i="16" s="1"/>
  <c r="J45" i="17" s="1"/>
  <c r="Q47" i="4"/>
  <c r="P47" i="4"/>
  <c r="H44" i="16" s="1"/>
  <c r="H45" i="17" s="1"/>
  <c r="O47" i="4"/>
  <c r="N47" i="4"/>
  <c r="G44" i="16" s="1"/>
  <c r="G45" i="17" s="1"/>
  <c r="M47" i="4"/>
  <c r="L47" i="4"/>
  <c r="F44" i="16" s="1"/>
  <c r="F45" i="17" s="1"/>
  <c r="K47" i="4"/>
  <c r="J47" i="4"/>
  <c r="E44" i="16" s="1"/>
  <c r="E45" i="17" s="1"/>
  <c r="I47" i="4"/>
  <c r="H47" i="4"/>
  <c r="D44" i="16" s="1"/>
  <c r="D45" i="17" s="1"/>
  <c r="W46" i="4"/>
  <c r="V46" i="4"/>
  <c r="K43" i="16" s="1"/>
  <c r="K44" i="17" s="1"/>
  <c r="U46" i="4"/>
  <c r="T46" i="4"/>
  <c r="I43" i="16" s="1"/>
  <c r="I44" i="17" s="1"/>
  <c r="S46" i="4"/>
  <c r="R46" i="4"/>
  <c r="J43" i="16" s="1"/>
  <c r="J44" i="17" s="1"/>
  <c r="Q46" i="4"/>
  <c r="P46" i="4"/>
  <c r="H43" i="16" s="1"/>
  <c r="H44" i="17" s="1"/>
  <c r="O46" i="4"/>
  <c r="N46" i="4"/>
  <c r="G43" i="16" s="1"/>
  <c r="G44" i="17" s="1"/>
  <c r="M46" i="4"/>
  <c r="L46" i="4"/>
  <c r="F43" i="16" s="1"/>
  <c r="F44" i="17" s="1"/>
  <c r="K46" i="4"/>
  <c r="J46" i="4"/>
  <c r="E43" i="16" s="1"/>
  <c r="E44" i="17" s="1"/>
  <c r="I46" i="4"/>
  <c r="H46" i="4"/>
  <c r="D43" i="16" s="1"/>
  <c r="D44" i="17" s="1"/>
  <c r="W45" i="4"/>
  <c r="V45" i="4"/>
  <c r="K42" i="16" s="1"/>
  <c r="K43" i="17" s="1"/>
  <c r="U45" i="4"/>
  <c r="T45" i="4"/>
  <c r="I42" i="16" s="1"/>
  <c r="I43" i="17" s="1"/>
  <c r="S45" i="4"/>
  <c r="R45" i="4"/>
  <c r="J42" i="16" s="1"/>
  <c r="J43" i="17" s="1"/>
  <c r="Q45" i="4"/>
  <c r="P45" i="4"/>
  <c r="H42" i="16" s="1"/>
  <c r="H43" i="17" s="1"/>
  <c r="O45" i="4"/>
  <c r="N45" i="4"/>
  <c r="G42" i="16" s="1"/>
  <c r="G43" i="17" s="1"/>
  <c r="M45" i="4"/>
  <c r="L45" i="4"/>
  <c r="F42" i="16" s="1"/>
  <c r="F43" i="17" s="1"/>
  <c r="K45" i="4"/>
  <c r="J45" i="4"/>
  <c r="E42" i="16" s="1"/>
  <c r="E43" i="17" s="1"/>
  <c r="I45" i="4"/>
  <c r="H45" i="4"/>
  <c r="D42" i="16" s="1"/>
  <c r="D43" i="17" s="1"/>
  <c r="W44" i="4"/>
  <c r="V44" i="4"/>
  <c r="K41" i="16" s="1"/>
  <c r="K42" i="17" s="1"/>
  <c r="U44" i="4"/>
  <c r="T44" i="4"/>
  <c r="I41" i="16" s="1"/>
  <c r="I42" i="17" s="1"/>
  <c r="S44" i="4"/>
  <c r="R44" i="4"/>
  <c r="J41" i="16" s="1"/>
  <c r="J42" i="17" s="1"/>
  <c r="Q44" i="4"/>
  <c r="P44" i="4"/>
  <c r="H41" i="16" s="1"/>
  <c r="H42" i="17" s="1"/>
  <c r="O44" i="4"/>
  <c r="N44" i="4"/>
  <c r="G41" i="16" s="1"/>
  <c r="G42" i="17" s="1"/>
  <c r="M44" i="4"/>
  <c r="L44" i="4"/>
  <c r="F41" i="16" s="1"/>
  <c r="F42" i="17" s="1"/>
  <c r="K44" i="4"/>
  <c r="J44" i="4"/>
  <c r="E41" i="16" s="1"/>
  <c r="E42" i="17" s="1"/>
  <c r="I44" i="4"/>
  <c r="H44" i="4"/>
  <c r="D41" i="16" s="1"/>
  <c r="D42" i="17" s="1"/>
  <c r="W43" i="4"/>
  <c r="V43" i="4"/>
  <c r="K40" i="16" s="1"/>
  <c r="K41" i="17" s="1"/>
  <c r="U43" i="4"/>
  <c r="T43" i="4"/>
  <c r="I40" i="16" s="1"/>
  <c r="I41" i="17" s="1"/>
  <c r="S43" i="4"/>
  <c r="R43" i="4"/>
  <c r="J40" i="16" s="1"/>
  <c r="J41" i="17" s="1"/>
  <c r="Q43" i="4"/>
  <c r="P43" i="4"/>
  <c r="H40" i="16" s="1"/>
  <c r="H41" i="17" s="1"/>
  <c r="O43" i="4"/>
  <c r="N43" i="4"/>
  <c r="G40" i="16" s="1"/>
  <c r="G41" i="17" s="1"/>
  <c r="M43" i="4"/>
  <c r="L43" i="4"/>
  <c r="F40" i="16" s="1"/>
  <c r="F41" i="17" s="1"/>
  <c r="K43" i="4"/>
  <c r="J43" i="4"/>
  <c r="E40" i="16" s="1"/>
  <c r="E41" i="17" s="1"/>
  <c r="I43" i="4"/>
  <c r="H43" i="4"/>
  <c r="D40" i="16" s="1"/>
  <c r="D41" i="17" s="1"/>
  <c r="W42" i="4"/>
  <c r="V42" i="4"/>
  <c r="K39" i="16" s="1"/>
  <c r="K40" i="17" s="1"/>
  <c r="U42" i="4"/>
  <c r="T42" i="4"/>
  <c r="I39" i="16" s="1"/>
  <c r="I40" i="17" s="1"/>
  <c r="S42" i="4"/>
  <c r="R42" i="4"/>
  <c r="J39" i="16" s="1"/>
  <c r="J40" i="17" s="1"/>
  <c r="Q42" i="4"/>
  <c r="P42" i="4"/>
  <c r="H39" i="16" s="1"/>
  <c r="H40" i="17" s="1"/>
  <c r="O42" i="4"/>
  <c r="N42" i="4"/>
  <c r="G39" i="16" s="1"/>
  <c r="G40" i="17" s="1"/>
  <c r="M42" i="4"/>
  <c r="L42" i="4"/>
  <c r="F39" i="16" s="1"/>
  <c r="F40" i="17" s="1"/>
  <c r="K42" i="4"/>
  <c r="J42" i="4"/>
  <c r="E39" i="16" s="1"/>
  <c r="E40" i="17" s="1"/>
  <c r="I42" i="4"/>
  <c r="H42" i="4"/>
  <c r="D39" i="16" s="1"/>
  <c r="D40" i="17" s="1"/>
  <c r="W41" i="4"/>
  <c r="V41" i="4"/>
  <c r="K38" i="16" s="1"/>
  <c r="K39" i="17" s="1"/>
  <c r="U41" i="4"/>
  <c r="T41" i="4"/>
  <c r="I38" i="16" s="1"/>
  <c r="I39" i="17" s="1"/>
  <c r="S41" i="4"/>
  <c r="R41" i="4"/>
  <c r="J38" i="16" s="1"/>
  <c r="J39" i="17" s="1"/>
  <c r="Q41" i="4"/>
  <c r="P41" i="4"/>
  <c r="H38" i="16" s="1"/>
  <c r="H39" i="17" s="1"/>
  <c r="O41" i="4"/>
  <c r="N41" i="4"/>
  <c r="G38" i="16" s="1"/>
  <c r="G39" i="17" s="1"/>
  <c r="M41" i="4"/>
  <c r="L41" i="4"/>
  <c r="F38" i="16" s="1"/>
  <c r="F39" i="17" s="1"/>
  <c r="K41" i="4"/>
  <c r="J41" i="4"/>
  <c r="E38" i="16" s="1"/>
  <c r="E39" i="17" s="1"/>
  <c r="I41" i="4"/>
  <c r="H41" i="4"/>
  <c r="D38" i="16" s="1"/>
  <c r="D39" i="17" s="1"/>
  <c r="W40" i="4"/>
  <c r="V40" i="4"/>
  <c r="K37" i="16" s="1"/>
  <c r="K38" i="17" s="1"/>
  <c r="U40" i="4"/>
  <c r="T40" i="4"/>
  <c r="I37" i="16" s="1"/>
  <c r="I38" i="17" s="1"/>
  <c r="S40" i="4"/>
  <c r="R40" i="4"/>
  <c r="J37" i="16" s="1"/>
  <c r="J38" i="17" s="1"/>
  <c r="Q40" i="4"/>
  <c r="P40" i="4"/>
  <c r="H37" i="16" s="1"/>
  <c r="H38" i="17" s="1"/>
  <c r="O40" i="4"/>
  <c r="N40" i="4"/>
  <c r="G37" i="16" s="1"/>
  <c r="G38" i="17" s="1"/>
  <c r="M40" i="4"/>
  <c r="L40" i="4"/>
  <c r="F37" i="16" s="1"/>
  <c r="F38" i="17" s="1"/>
  <c r="K40" i="4"/>
  <c r="J40" i="4"/>
  <c r="E37" i="16" s="1"/>
  <c r="E38" i="17" s="1"/>
  <c r="I40" i="4"/>
  <c r="H40" i="4"/>
  <c r="D37" i="16" s="1"/>
  <c r="D38" i="17" s="1"/>
  <c r="W39" i="4"/>
  <c r="V39" i="4"/>
  <c r="K36" i="16" s="1"/>
  <c r="K37" i="17" s="1"/>
  <c r="U39" i="4"/>
  <c r="T39" i="4"/>
  <c r="I36" i="16" s="1"/>
  <c r="I37" i="17" s="1"/>
  <c r="S39" i="4"/>
  <c r="R39" i="4"/>
  <c r="J36" i="16" s="1"/>
  <c r="J37" i="17" s="1"/>
  <c r="Q39" i="4"/>
  <c r="P39" i="4"/>
  <c r="H36" i="16" s="1"/>
  <c r="H37" i="17" s="1"/>
  <c r="O39" i="4"/>
  <c r="N39" i="4"/>
  <c r="G36" i="16" s="1"/>
  <c r="G37" i="17" s="1"/>
  <c r="M39" i="4"/>
  <c r="L39" i="4"/>
  <c r="F36" i="16" s="1"/>
  <c r="F37" i="17" s="1"/>
  <c r="K39" i="4"/>
  <c r="J39" i="4"/>
  <c r="E36" i="16" s="1"/>
  <c r="E37" i="17" s="1"/>
  <c r="I39" i="4"/>
  <c r="H39" i="4"/>
  <c r="D36" i="16" s="1"/>
  <c r="D37" i="17" s="1"/>
  <c r="W38" i="4"/>
  <c r="V38" i="4"/>
  <c r="K35" i="16" s="1"/>
  <c r="K36" i="17" s="1"/>
  <c r="U38" i="4"/>
  <c r="T38" i="4"/>
  <c r="I35" i="16" s="1"/>
  <c r="I36" i="17" s="1"/>
  <c r="S38" i="4"/>
  <c r="R38" i="4"/>
  <c r="J35" i="16" s="1"/>
  <c r="J36" i="17" s="1"/>
  <c r="Q38" i="4"/>
  <c r="P38" i="4"/>
  <c r="H35" i="16" s="1"/>
  <c r="H36" i="17" s="1"/>
  <c r="O38" i="4"/>
  <c r="N38" i="4"/>
  <c r="G35" i="16" s="1"/>
  <c r="G36" i="17" s="1"/>
  <c r="M38" i="4"/>
  <c r="L38" i="4"/>
  <c r="F35" i="16" s="1"/>
  <c r="F36" i="17" s="1"/>
  <c r="K38" i="4"/>
  <c r="J38" i="4"/>
  <c r="E35" i="16" s="1"/>
  <c r="E36" i="17" s="1"/>
  <c r="I38" i="4"/>
  <c r="H38" i="4"/>
  <c r="D35" i="16" s="1"/>
  <c r="D36" i="17" s="1"/>
  <c r="W37" i="4"/>
  <c r="V37" i="4"/>
  <c r="K34" i="16" s="1"/>
  <c r="K35" i="17" s="1"/>
  <c r="U37" i="4"/>
  <c r="T37" i="4"/>
  <c r="I34" i="16" s="1"/>
  <c r="I35" i="17" s="1"/>
  <c r="S37" i="4"/>
  <c r="R37" i="4"/>
  <c r="J34" i="16" s="1"/>
  <c r="J35" i="17" s="1"/>
  <c r="Q37" i="4"/>
  <c r="P37" i="4"/>
  <c r="H34" i="16" s="1"/>
  <c r="H35" i="17" s="1"/>
  <c r="O37" i="4"/>
  <c r="N37" i="4"/>
  <c r="G34" i="16" s="1"/>
  <c r="G35" i="17" s="1"/>
  <c r="M37" i="4"/>
  <c r="L37" i="4"/>
  <c r="F34" i="16" s="1"/>
  <c r="F35" i="17" s="1"/>
  <c r="K37" i="4"/>
  <c r="J37" i="4"/>
  <c r="E34" i="16" s="1"/>
  <c r="E35" i="17" s="1"/>
  <c r="I37" i="4"/>
  <c r="H37" i="4"/>
  <c r="D34" i="16" s="1"/>
  <c r="D35" i="17" s="1"/>
  <c r="W36" i="4"/>
  <c r="V36" i="4"/>
  <c r="K33" i="16" s="1"/>
  <c r="K34" i="17" s="1"/>
  <c r="U36" i="4"/>
  <c r="T36" i="4"/>
  <c r="I33" i="16" s="1"/>
  <c r="I34" i="17" s="1"/>
  <c r="S36" i="4"/>
  <c r="R36" i="4"/>
  <c r="J33" i="16" s="1"/>
  <c r="J34" i="17" s="1"/>
  <c r="Q36" i="4"/>
  <c r="P36" i="4"/>
  <c r="H33" i="16" s="1"/>
  <c r="H34" i="17" s="1"/>
  <c r="O36" i="4"/>
  <c r="N36" i="4"/>
  <c r="G33" i="16" s="1"/>
  <c r="G34" i="17" s="1"/>
  <c r="M36" i="4"/>
  <c r="L36" i="4"/>
  <c r="F33" i="16" s="1"/>
  <c r="F34" i="17" s="1"/>
  <c r="K36" i="4"/>
  <c r="J36" i="4"/>
  <c r="E33" i="16" s="1"/>
  <c r="E34" i="17" s="1"/>
  <c r="I36" i="4"/>
  <c r="H36" i="4"/>
  <c r="D33" i="16" s="1"/>
  <c r="D34" i="17" s="1"/>
  <c r="W35" i="4"/>
  <c r="V35" i="4"/>
  <c r="K32" i="16" s="1"/>
  <c r="K33" i="17" s="1"/>
  <c r="U35" i="4"/>
  <c r="T35" i="4"/>
  <c r="I32" i="16" s="1"/>
  <c r="I33" i="17" s="1"/>
  <c r="S35" i="4"/>
  <c r="R35" i="4"/>
  <c r="J32" i="16" s="1"/>
  <c r="J33" i="17" s="1"/>
  <c r="Q35" i="4"/>
  <c r="P35" i="4"/>
  <c r="H32" i="16" s="1"/>
  <c r="H33" i="17" s="1"/>
  <c r="O35" i="4"/>
  <c r="N35" i="4"/>
  <c r="G32" i="16" s="1"/>
  <c r="G33" i="17" s="1"/>
  <c r="M35" i="4"/>
  <c r="L35" i="4"/>
  <c r="F32" i="16" s="1"/>
  <c r="F33" i="17" s="1"/>
  <c r="K35" i="4"/>
  <c r="J35" i="4"/>
  <c r="E32" i="16" s="1"/>
  <c r="E33" i="17" s="1"/>
  <c r="I35" i="4"/>
  <c r="H35" i="4"/>
  <c r="D32" i="16" s="1"/>
  <c r="D33" i="17" s="1"/>
  <c r="W34" i="4"/>
  <c r="V34" i="4"/>
  <c r="K31" i="16" s="1"/>
  <c r="K32" i="17" s="1"/>
  <c r="U34" i="4"/>
  <c r="T34" i="4"/>
  <c r="I31" i="16" s="1"/>
  <c r="I32" i="17" s="1"/>
  <c r="S34" i="4"/>
  <c r="R34" i="4"/>
  <c r="J31" i="16" s="1"/>
  <c r="J32" i="17" s="1"/>
  <c r="Q34" i="4"/>
  <c r="P34" i="4"/>
  <c r="H31" i="16" s="1"/>
  <c r="H32" i="17" s="1"/>
  <c r="O34" i="4"/>
  <c r="N34" i="4"/>
  <c r="G31" i="16" s="1"/>
  <c r="G32" i="17" s="1"/>
  <c r="M34" i="4"/>
  <c r="L34" i="4"/>
  <c r="F31" i="16" s="1"/>
  <c r="F32" i="17" s="1"/>
  <c r="K34" i="4"/>
  <c r="J34" i="4"/>
  <c r="E31" i="16" s="1"/>
  <c r="E32" i="17" s="1"/>
  <c r="I34" i="4"/>
  <c r="H34" i="4"/>
  <c r="D31" i="16" s="1"/>
  <c r="D32" i="17" s="1"/>
  <c r="W33" i="4"/>
  <c r="V33" i="4"/>
  <c r="K30" i="16" s="1"/>
  <c r="K31" i="17" s="1"/>
  <c r="U33" i="4"/>
  <c r="T33" i="4"/>
  <c r="I30" i="16" s="1"/>
  <c r="I31" i="17" s="1"/>
  <c r="S33" i="4"/>
  <c r="R33" i="4"/>
  <c r="J30" i="16" s="1"/>
  <c r="J31" i="17" s="1"/>
  <c r="Q33" i="4"/>
  <c r="P33" i="4"/>
  <c r="H30" i="16" s="1"/>
  <c r="H31" i="17" s="1"/>
  <c r="O33" i="4"/>
  <c r="N33" i="4"/>
  <c r="G30" i="16" s="1"/>
  <c r="G31" i="17" s="1"/>
  <c r="M33" i="4"/>
  <c r="L33" i="4"/>
  <c r="F30" i="16" s="1"/>
  <c r="F31" i="17" s="1"/>
  <c r="K33" i="4"/>
  <c r="J33" i="4"/>
  <c r="E30" i="16" s="1"/>
  <c r="E31" i="17" s="1"/>
  <c r="I33" i="4"/>
  <c r="H33" i="4"/>
  <c r="D30" i="16" s="1"/>
  <c r="D31" i="17" s="1"/>
  <c r="W32" i="4"/>
  <c r="V32" i="4"/>
  <c r="K29" i="16" s="1"/>
  <c r="K30" i="17" s="1"/>
  <c r="U32" i="4"/>
  <c r="T32" i="4"/>
  <c r="I29" i="16" s="1"/>
  <c r="I30" i="17" s="1"/>
  <c r="S32" i="4"/>
  <c r="R32" i="4"/>
  <c r="J29" i="16" s="1"/>
  <c r="J30" i="17" s="1"/>
  <c r="Q32" i="4"/>
  <c r="P32" i="4"/>
  <c r="H29" i="16" s="1"/>
  <c r="H30" i="17" s="1"/>
  <c r="O32" i="4"/>
  <c r="N32" i="4"/>
  <c r="G29" i="16" s="1"/>
  <c r="G30" i="17" s="1"/>
  <c r="M32" i="4"/>
  <c r="L32" i="4"/>
  <c r="F29" i="16" s="1"/>
  <c r="F30" i="17" s="1"/>
  <c r="K32" i="4"/>
  <c r="J32" i="4"/>
  <c r="E29" i="16" s="1"/>
  <c r="E30" i="17" s="1"/>
  <c r="I32" i="4"/>
  <c r="H32" i="4"/>
  <c r="D29" i="16" s="1"/>
  <c r="D30" i="17" s="1"/>
  <c r="W31" i="4"/>
  <c r="V31" i="4"/>
  <c r="K28" i="16" s="1"/>
  <c r="K29" i="17" s="1"/>
  <c r="U31" i="4"/>
  <c r="T31" i="4"/>
  <c r="I28" i="16" s="1"/>
  <c r="I29" i="17" s="1"/>
  <c r="S31" i="4"/>
  <c r="R31" i="4"/>
  <c r="J28" i="16" s="1"/>
  <c r="J29" i="17" s="1"/>
  <c r="Q31" i="4"/>
  <c r="P31" i="4"/>
  <c r="H28" i="16" s="1"/>
  <c r="H29" i="17" s="1"/>
  <c r="O31" i="4"/>
  <c r="N31" i="4"/>
  <c r="G28" i="16" s="1"/>
  <c r="G29" i="17" s="1"/>
  <c r="M31" i="4"/>
  <c r="L31" i="4"/>
  <c r="F28" i="16" s="1"/>
  <c r="F29" i="17" s="1"/>
  <c r="K31" i="4"/>
  <c r="J31" i="4"/>
  <c r="E28" i="16" s="1"/>
  <c r="E29" i="17" s="1"/>
  <c r="I31" i="4"/>
  <c r="H31" i="4"/>
  <c r="D28" i="16" s="1"/>
  <c r="D29" i="17" s="1"/>
  <c r="W30" i="4"/>
  <c r="V30" i="4"/>
  <c r="K27" i="16" s="1"/>
  <c r="K28" i="17" s="1"/>
  <c r="U30" i="4"/>
  <c r="T30" i="4"/>
  <c r="I27" i="16" s="1"/>
  <c r="I28" i="17" s="1"/>
  <c r="S30" i="4"/>
  <c r="R30" i="4"/>
  <c r="J27" i="16" s="1"/>
  <c r="J28" i="17" s="1"/>
  <c r="Q30" i="4"/>
  <c r="P30" i="4"/>
  <c r="H27" i="16" s="1"/>
  <c r="H28" i="17" s="1"/>
  <c r="O30" i="4"/>
  <c r="N30" i="4"/>
  <c r="G27" i="16" s="1"/>
  <c r="G28" i="17" s="1"/>
  <c r="M30" i="4"/>
  <c r="L30" i="4"/>
  <c r="F27" i="16" s="1"/>
  <c r="F28" i="17" s="1"/>
  <c r="K30" i="4"/>
  <c r="J30" i="4"/>
  <c r="E27" i="16" s="1"/>
  <c r="E28" i="17" s="1"/>
  <c r="I30" i="4"/>
  <c r="H30" i="4"/>
  <c r="D27" i="16" s="1"/>
  <c r="D28" i="17" s="1"/>
  <c r="W29" i="4"/>
  <c r="V29" i="4"/>
  <c r="K26" i="16" s="1"/>
  <c r="K27" i="17" s="1"/>
  <c r="U29" i="4"/>
  <c r="T29" i="4"/>
  <c r="I26" i="16" s="1"/>
  <c r="I27" i="17" s="1"/>
  <c r="S29" i="4"/>
  <c r="R29" i="4"/>
  <c r="J26" i="16" s="1"/>
  <c r="J27" i="17" s="1"/>
  <c r="Q29" i="4"/>
  <c r="P29" i="4"/>
  <c r="H26" i="16" s="1"/>
  <c r="H27" i="17" s="1"/>
  <c r="O29" i="4"/>
  <c r="N29" i="4"/>
  <c r="G26" i="16" s="1"/>
  <c r="G27" i="17" s="1"/>
  <c r="M29" i="4"/>
  <c r="L29" i="4"/>
  <c r="F26" i="16" s="1"/>
  <c r="F27" i="17" s="1"/>
  <c r="K29" i="4"/>
  <c r="J29" i="4"/>
  <c r="E26" i="16" s="1"/>
  <c r="E27" i="17" s="1"/>
  <c r="I29" i="4"/>
  <c r="H29" i="4"/>
  <c r="D26" i="16" s="1"/>
  <c r="D27" i="17" s="1"/>
  <c r="W28" i="4"/>
  <c r="V28" i="4"/>
  <c r="K25" i="16" s="1"/>
  <c r="K26" i="17" s="1"/>
  <c r="U28" i="4"/>
  <c r="T28" i="4"/>
  <c r="I25" i="16" s="1"/>
  <c r="I26" i="17" s="1"/>
  <c r="S28" i="4"/>
  <c r="R28" i="4"/>
  <c r="J25" i="16" s="1"/>
  <c r="J26" i="17" s="1"/>
  <c r="Q28" i="4"/>
  <c r="P28" i="4"/>
  <c r="H25" i="16" s="1"/>
  <c r="H26" i="17" s="1"/>
  <c r="O28" i="4"/>
  <c r="N28" i="4"/>
  <c r="G25" i="16" s="1"/>
  <c r="G26" i="17" s="1"/>
  <c r="M28" i="4"/>
  <c r="L28" i="4"/>
  <c r="F25" i="16" s="1"/>
  <c r="F26" i="17" s="1"/>
  <c r="K28" i="4"/>
  <c r="J28" i="4"/>
  <c r="E25" i="16" s="1"/>
  <c r="E26" i="17" s="1"/>
  <c r="I28" i="4"/>
  <c r="H28" i="4"/>
  <c r="D25" i="16" s="1"/>
  <c r="D26" i="17" s="1"/>
  <c r="W27" i="4"/>
  <c r="V27" i="4"/>
  <c r="K24" i="16" s="1"/>
  <c r="K25" i="17" s="1"/>
  <c r="U27" i="4"/>
  <c r="T27" i="4"/>
  <c r="I24" i="16" s="1"/>
  <c r="I25" i="17" s="1"/>
  <c r="S27" i="4"/>
  <c r="R27" i="4"/>
  <c r="J24" i="16" s="1"/>
  <c r="J25" i="17" s="1"/>
  <c r="Q27" i="4"/>
  <c r="P27" i="4"/>
  <c r="H24" i="16" s="1"/>
  <c r="H25" i="17" s="1"/>
  <c r="O27" i="4"/>
  <c r="N27" i="4"/>
  <c r="G24" i="16" s="1"/>
  <c r="G25" i="17" s="1"/>
  <c r="M27" i="4"/>
  <c r="L27" i="4"/>
  <c r="F24" i="16" s="1"/>
  <c r="F25" i="17" s="1"/>
  <c r="K27" i="4"/>
  <c r="J27" i="4"/>
  <c r="E24" i="16" s="1"/>
  <c r="E25" i="17" s="1"/>
  <c r="I27" i="4"/>
  <c r="H27" i="4"/>
  <c r="D24" i="16" s="1"/>
  <c r="D25" i="17" s="1"/>
  <c r="W26" i="4"/>
  <c r="V26" i="4"/>
  <c r="K23" i="16" s="1"/>
  <c r="K24" i="17" s="1"/>
  <c r="U26" i="4"/>
  <c r="T26" i="4"/>
  <c r="I23" i="16" s="1"/>
  <c r="I24" i="17" s="1"/>
  <c r="S26" i="4"/>
  <c r="R26" i="4"/>
  <c r="J23" i="16" s="1"/>
  <c r="J24" i="17" s="1"/>
  <c r="Q26" i="4"/>
  <c r="P26" i="4"/>
  <c r="H23" i="16" s="1"/>
  <c r="H24" i="17" s="1"/>
  <c r="O26" i="4"/>
  <c r="N26" i="4"/>
  <c r="G23" i="16" s="1"/>
  <c r="G24" i="17" s="1"/>
  <c r="M26" i="4"/>
  <c r="L26" i="4"/>
  <c r="F23" i="16" s="1"/>
  <c r="F24" i="17" s="1"/>
  <c r="K26" i="4"/>
  <c r="J26" i="4"/>
  <c r="E23" i="16" s="1"/>
  <c r="E24" i="17" s="1"/>
  <c r="I26" i="4"/>
  <c r="H26" i="4"/>
  <c r="D23" i="16" s="1"/>
  <c r="D24" i="17" s="1"/>
  <c r="W25" i="4"/>
  <c r="V25" i="4"/>
  <c r="K22" i="16" s="1"/>
  <c r="K23" i="17" s="1"/>
  <c r="U25" i="4"/>
  <c r="T25" i="4"/>
  <c r="I22" i="16" s="1"/>
  <c r="I23" i="17" s="1"/>
  <c r="S25" i="4"/>
  <c r="R25" i="4"/>
  <c r="J22" i="16" s="1"/>
  <c r="J23" i="17" s="1"/>
  <c r="Q25" i="4"/>
  <c r="P25" i="4"/>
  <c r="H22" i="16" s="1"/>
  <c r="H23" i="17" s="1"/>
  <c r="O25" i="4"/>
  <c r="N25" i="4"/>
  <c r="G22" i="16" s="1"/>
  <c r="G23" i="17" s="1"/>
  <c r="M25" i="4"/>
  <c r="L25" i="4"/>
  <c r="F22" i="16" s="1"/>
  <c r="F23" i="17" s="1"/>
  <c r="K25" i="4"/>
  <c r="J25" i="4"/>
  <c r="E22" i="16" s="1"/>
  <c r="E23" i="17" s="1"/>
  <c r="I25" i="4"/>
  <c r="H25" i="4"/>
  <c r="D22" i="16" s="1"/>
  <c r="D23" i="17" s="1"/>
  <c r="W24" i="4"/>
  <c r="V24" i="4"/>
  <c r="K21" i="16" s="1"/>
  <c r="K22" i="17" s="1"/>
  <c r="U24" i="4"/>
  <c r="T24" i="4"/>
  <c r="I21" i="16" s="1"/>
  <c r="I22" i="17" s="1"/>
  <c r="S24" i="4"/>
  <c r="R24" i="4"/>
  <c r="J21" i="16" s="1"/>
  <c r="J22" i="17" s="1"/>
  <c r="Q24" i="4"/>
  <c r="P24" i="4"/>
  <c r="H21" i="16" s="1"/>
  <c r="H22" i="17" s="1"/>
  <c r="O24" i="4"/>
  <c r="N24" i="4"/>
  <c r="G21" i="16" s="1"/>
  <c r="G22" i="17" s="1"/>
  <c r="M24" i="4"/>
  <c r="L24" i="4"/>
  <c r="F21" i="16" s="1"/>
  <c r="F22" i="17" s="1"/>
  <c r="K24" i="4"/>
  <c r="J24" i="4"/>
  <c r="E21" i="16" s="1"/>
  <c r="E22" i="17" s="1"/>
  <c r="I24" i="4"/>
  <c r="H24" i="4"/>
  <c r="D21" i="16" s="1"/>
  <c r="D22" i="17" s="1"/>
  <c r="W23" i="4"/>
  <c r="V23" i="4"/>
  <c r="K20" i="16" s="1"/>
  <c r="K21" i="17" s="1"/>
  <c r="U23" i="4"/>
  <c r="T23" i="4"/>
  <c r="I20" i="16" s="1"/>
  <c r="I21" i="17" s="1"/>
  <c r="S23" i="4"/>
  <c r="R23" i="4"/>
  <c r="J20" i="16" s="1"/>
  <c r="J21" i="17" s="1"/>
  <c r="Q23" i="4"/>
  <c r="P23" i="4"/>
  <c r="H20" i="16" s="1"/>
  <c r="H21" i="17" s="1"/>
  <c r="O23" i="4"/>
  <c r="N23" i="4"/>
  <c r="G20" i="16" s="1"/>
  <c r="G21" i="17" s="1"/>
  <c r="M23" i="4"/>
  <c r="L23" i="4"/>
  <c r="F20" i="16" s="1"/>
  <c r="F21" i="17" s="1"/>
  <c r="K23" i="4"/>
  <c r="J23" i="4"/>
  <c r="E20" i="16" s="1"/>
  <c r="E21" i="17" s="1"/>
  <c r="I23" i="4"/>
  <c r="H23" i="4"/>
  <c r="D20" i="16" s="1"/>
  <c r="D21" i="17" s="1"/>
  <c r="W22" i="4"/>
  <c r="V22" i="4"/>
  <c r="K19" i="16" s="1"/>
  <c r="K20" i="17" s="1"/>
  <c r="U22" i="4"/>
  <c r="T22" i="4"/>
  <c r="I19" i="16" s="1"/>
  <c r="I20" i="17" s="1"/>
  <c r="S22" i="4"/>
  <c r="R22" i="4"/>
  <c r="J19" i="16" s="1"/>
  <c r="J20" i="17" s="1"/>
  <c r="Q22" i="4"/>
  <c r="P22" i="4"/>
  <c r="H19" i="16" s="1"/>
  <c r="H20" i="17" s="1"/>
  <c r="O22" i="4"/>
  <c r="N22" i="4"/>
  <c r="G19" i="16" s="1"/>
  <c r="G20" i="17" s="1"/>
  <c r="M22" i="4"/>
  <c r="L22" i="4"/>
  <c r="F19" i="16" s="1"/>
  <c r="F20" i="17" s="1"/>
  <c r="K22" i="4"/>
  <c r="J22" i="4"/>
  <c r="E19" i="16" s="1"/>
  <c r="E20" i="17" s="1"/>
  <c r="I22" i="4"/>
  <c r="H22" i="4"/>
  <c r="D19" i="16" s="1"/>
  <c r="D20" i="17" s="1"/>
  <c r="W21" i="4"/>
  <c r="V21" i="4"/>
  <c r="K18" i="16" s="1"/>
  <c r="K19" i="17" s="1"/>
  <c r="U21" i="4"/>
  <c r="T21" i="4"/>
  <c r="I18" i="16" s="1"/>
  <c r="I19" i="17" s="1"/>
  <c r="S21" i="4"/>
  <c r="R21" i="4"/>
  <c r="J18" i="16" s="1"/>
  <c r="J19" i="17" s="1"/>
  <c r="Q21" i="4"/>
  <c r="P21" i="4"/>
  <c r="H18" i="16" s="1"/>
  <c r="H19" i="17" s="1"/>
  <c r="O21" i="4"/>
  <c r="N21" i="4"/>
  <c r="G18" i="16" s="1"/>
  <c r="G19" i="17" s="1"/>
  <c r="M21" i="4"/>
  <c r="L21" i="4"/>
  <c r="F18" i="16" s="1"/>
  <c r="F19" i="17" s="1"/>
  <c r="K21" i="4"/>
  <c r="J21" i="4"/>
  <c r="E18" i="16" s="1"/>
  <c r="E19" i="17" s="1"/>
  <c r="I21" i="4"/>
  <c r="H21" i="4"/>
  <c r="D18" i="16" s="1"/>
  <c r="D19" i="17" s="1"/>
  <c r="W20" i="4"/>
  <c r="V20" i="4"/>
  <c r="K17" i="16" s="1"/>
  <c r="K18" i="17" s="1"/>
  <c r="U20" i="4"/>
  <c r="T20" i="4"/>
  <c r="I17" i="16" s="1"/>
  <c r="I18" i="17" s="1"/>
  <c r="S20" i="4"/>
  <c r="R20" i="4"/>
  <c r="J17" i="16" s="1"/>
  <c r="J18" i="17" s="1"/>
  <c r="Q20" i="4"/>
  <c r="P20" i="4"/>
  <c r="H17" i="16" s="1"/>
  <c r="H18" i="17" s="1"/>
  <c r="W16" i="17" s="1"/>
  <c r="O20" i="4"/>
  <c r="N20" i="4"/>
  <c r="G17" i="16" s="1"/>
  <c r="G18" i="17" s="1"/>
  <c r="M20" i="4"/>
  <c r="L20" i="4"/>
  <c r="F17" i="16" s="1"/>
  <c r="F18" i="17" s="1"/>
  <c r="K20" i="4"/>
  <c r="J20" i="4"/>
  <c r="E17" i="16" s="1"/>
  <c r="E18" i="17" s="1"/>
  <c r="I20" i="4"/>
  <c r="H20" i="4"/>
  <c r="D17" i="16" s="1"/>
  <c r="D18" i="17" s="1"/>
  <c r="W19" i="4"/>
  <c r="V19" i="4"/>
  <c r="K16" i="16" s="1"/>
  <c r="K17" i="17" s="1"/>
  <c r="U19" i="4"/>
  <c r="T19" i="4"/>
  <c r="I16" i="16" s="1"/>
  <c r="I17" i="17" s="1"/>
  <c r="S19" i="4"/>
  <c r="R19" i="4"/>
  <c r="J16" i="16" s="1"/>
  <c r="J17" i="17" s="1"/>
  <c r="Q19" i="4"/>
  <c r="P19" i="4"/>
  <c r="H16" i="16" s="1"/>
  <c r="H17" i="17" s="1"/>
  <c r="O19" i="4"/>
  <c r="N19" i="4"/>
  <c r="G16" i="16" s="1"/>
  <c r="G17" i="17" s="1"/>
  <c r="M19" i="4"/>
  <c r="L19" i="4"/>
  <c r="F16" i="16" s="1"/>
  <c r="F17" i="17" s="1"/>
  <c r="K19" i="4"/>
  <c r="J19" i="4"/>
  <c r="E16" i="16" s="1"/>
  <c r="E17" i="17" s="1"/>
  <c r="I19" i="4"/>
  <c r="H19" i="4"/>
  <c r="D16" i="16" s="1"/>
  <c r="D17" i="17" s="1"/>
  <c r="W18" i="4"/>
  <c r="V18" i="4"/>
  <c r="K15" i="16" s="1"/>
  <c r="K16" i="17" s="1"/>
  <c r="U18" i="4"/>
  <c r="T18" i="4"/>
  <c r="I15" i="16" s="1"/>
  <c r="I16" i="17" s="1"/>
  <c r="S18" i="4"/>
  <c r="R18" i="4"/>
  <c r="J15" i="16" s="1"/>
  <c r="J16" i="17" s="1"/>
  <c r="Q18" i="4"/>
  <c r="P18" i="4"/>
  <c r="H15" i="16" s="1"/>
  <c r="H16" i="17" s="1"/>
  <c r="W6" i="17" s="1"/>
  <c r="O18" i="4"/>
  <c r="N18" i="4"/>
  <c r="G15" i="16" s="1"/>
  <c r="G16" i="17" s="1"/>
  <c r="M18" i="4"/>
  <c r="L18" i="4"/>
  <c r="F15" i="16" s="1"/>
  <c r="F16" i="17" s="1"/>
  <c r="K18" i="4"/>
  <c r="J18" i="4"/>
  <c r="E15" i="16" s="1"/>
  <c r="E16" i="17" s="1"/>
  <c r="I18" i="4"/>
  <c r="H18" i="4"/>
  <c r="D15" i="16" s="1"/>
  <c r="D16" i="17" s="1"/>
  <c r="Q15" i="17" s="1"/>
  <c r="W17" i="4"/>
  <c r="V17" i="4"/>
  <c r="K14" i="16" s="1"/>
  <c r="K15" i="17" s="1"/>
  <c r="U17" i="4"/>
  <c r="T17" i="4"/>
  <c r="I14" i="16" s="1"/>
  <c r="I15" i="17" s="1"/>
  <c r="S17" i="4"/>
  <c r="R17" i="4"/>
  <c r="J14" i="16" s="1"/>
  <c r="J15" i="17" s="1"/>
  <c r="Q17" i="4"/>
  <c r="P17" i="4"/>
  <c r="H14" i="16" s="1"/>
  <c r="H15" i="17" s="1"/>
  <c r="O17" i="4"/>
  <c r="N17" i="4"/>
  <c r="G14" i="16" s="1"/>
  <c r="G15" i="17" s="1"/>
  <c r="M17" i="4"/>
  <c r="L17" i="4"/>
  <c r="F14" i="16" s="1"/>
  <c r="F15" i="17" s="1"/>
  <c r="K17" i="4"/>
  <c r="J17" i="4"/>
  <c r="E14" i="16" s="1"/>
  <c r="E15" i="17" s="1"/>
  <c r="I17" i="4"/>
  <c r="H17" i="4"/>
  <c r="D14" i="16" s="1"/>
  <c r="D15" i="17" s="1"/>
  <c r="W16" i="4"/>
  <c r="V16" i="4"/>
  <c r="K13" i="16" s="1"/>
  <c r="K14" i="17" s="1"/>
  <c r="U16" i="4"/>
  <c r="T16" i="4"/>
  <c r="I13" i="16" s="1"/>
  <c r="I14" i="17" s="1"/>
  <c r="S16" i="4"/>
  <c r="R16" i="4"/>
  <c r="J13" i="16" s="1"/>
  <c r="J14" i="17" s="1"/>
  <c r="Q16" i="4"/>
  <c r="P16" i="4"/>
  <c r="H13" i="16" s="1"/>
  <c r="H14" i="17" s="1"/>
  <c r="O16" i="4"/>
  <c r="N16" i="4"/>
  <c r="G13" i="16" s="1"/>
  <c r="G14" i="17" s="1"/>
  <c r="M16" i="4"/>
  <c r="L16" i="4"/>
  <c r="F13" i="16" s="1"/>
  <c r="F14" i="17" s="1"/>
  <c r="K16" i="4"/>
  <c r="J16" i="4"/>
  <c r="E13" i="16" s="1"/>
  <c r="E14" i="17" s="1"/>
  <c r="I16" i="4"/>
  <c r="H16" i="4"/>
  <c r="D13" i="16" s="1"/>
  <c r="D14" i="17" s="1"/>
  <c r="Q16" i="17" s="1"/>
  <c r="W15" i="4"/>
  <c r="V15" i="4"/>
  <c r="K12" i="16" s="1"/>
  <c r="K13" i="17" s="1"/>
  <c r="U15" i="4"/>
  <c r="T15" i="4"/>
  <c r="I12" i="16" s="1"/>
  <c r="I13" i="17" s="1"/>
  <c r="S15" i="4"/>
  <c r="R15" i="4"/>
  <c r="J12" i="16" s="1"/>
  <c r="J13" i="17" s="1"/>
  <c r="Q15" i="4"/>
  <c r="P15" i="4"/>
  <c r="H12" i="16" s="1"/>
  <c r="H13" i="17" s="1"/>
  <c r="O15" i="4"/>
  <c r="N15" i="4"/>
  <c r="G12" i="16" s="1"/>
  <c r="G13" i="17" s="1"/>
  <c r="M15" i="4"/>
  <c r="L15" i="4"/>
  <c r="F12" i="16" s="1"/>
  <c r="F13" i="17" s="1"/>
  <c r="K15" i="4"/>
  <c r="J15" i="4"/>
  <c r="E12" i="16" s="1"/>
  <c r="E13" i="17" s="1"/>
  <c r="I15" i="4"/>
  <c r="H15" i="4"/>
  <c r="D12" i="16" s="1"/>
  <c r="D13" i="17" s="1"/>
  <c r="Q24" i="17" s="1"/>
  <c r="W14" i="4"/>
  <c r="V14" i="4"/>
  <c r="K11" i="16" s="1"/>
  <c r="K12" i="17" s="1"/>
  <c r="U14" i="4"/>
  <c r="T14" i="4"/>
  <c r="I11" i="16" s="1"/>
  <c r="I12" i="17" s="1"/>
  <c r="S14" i="4"/>
  <c r="R14" i="4"/>
  <c r="J11" i="16" s="1"/>
  <c r="J12" i="17" s="1"/>
  <c r="Q14" i="4"/>
  <c r="P14" i="4"/>
  <c r="H11" i="16" s="1"/>
  <c r="H12" i="17" s="1"/>
  <c r="O14" i="4"/>
  <c r="N14" i="4"/>
  <c r="G11" i="16" s="1"/>
  <c r="G12" i="17" s="1"/>
  <c r="M14" i="4"/>
  <c r="L14" i="4"/>
  <c r="F11" i="16" s="1"/>
  <c r="F12" i="17" s="1"/>
  <c r="K14" i="4"/>
  <c r="J14" i="4"/>
  <c r="E11" i="16" s="1"/>
  <c r="E12" i="17" s="1"/>
  <c r="I14" i="4"/>
  <c r="H14" i="4"/>
  <c r="D11" i="16" s="1"/>
  <c r="D12" i="17" s="1"/>
  <c r="W13" i="4"/>
  <c r="V13" i="4"/>
  <c r="K10" i="16" s="1"/>
  <c r="K11" i="17" s="1"/>
  <c r="U13" i="4"/>
  <c r="T13" i="4"/>
  <c r="I10" i="16" s="1"/>
  <c r="I11" i="17" s="1"/>
  <c r="S13" i="4"/>
  <c r="R13" i="4"/>
  <c r="J10" i="16" s="1"/>
  <c r="J11" i="17" s="1"/>
  <c r="Q13" i="4"/>
  <c r="P13" i="4"/>
  <c r="H10" i="16" s="1"/>
  <c r="H11" i="17" s="1"/>
  <c r="O13" i="4"/>
  <c r="N13" i="4"/>
  <c r="G10" i="16" s="1"/>
  <c r="G11" i="17" s="1"/>
  <c r="M13" i="4"/>
  <c r="L13" i="4"/>
  <c r="F10" i="16" s="1"/>
  <c r="F11" i="17" s="1"/>
  <c r="K13" i="4"/>
  <c r="J13" i="4"/>
  <c r="E10" i="16" s="1"/>
  <c r="E11" i="17" s="1"/>
  <c r="I13" i="4"/>
  <c r="H13" i="4"/>
  <c r="D10" i="16" s="1"/>
  <c r="D11" i="17" s="1"/>
  <c r="Q22" i="17" s="1"/>
  <c r="W12" i="4"/>
  <c r="V12" i="4"/>
  <c r="K9" i="16" s="1"/>
  <c r="K10" i="17" s="1"/>
  <c r="U12" i="4"/>
  <c r="T12" i="4"/>
  <c r="I9" i="16" s="1"/>
  <c r="I10" i="17" s="1"/>
  <c r="S12" i="4"/>
  <c r="R12" i="4"/>
  <c r="J9" i="16" s="1"/>
  <c r="J10" i="17" s="1"/>
  <c r="Q12" i="4"/>
  <c r="P12" i="4"/>
  <c r="H9" i="16" s="1"/>
  <c r="H10" i="17" s="1"/>
  <c r="W15" i="17" s="1"/>
  <c r="O12" i="4"/>
  <c r="N12" i="4"/>
  <c r="G9" i="16" s="1"/>
  <c r="G10" i="17" s="1"/>
  <c r="M12" i="4"/>
  <c r="L12" i="4"/>
  <c r="F9" i="16" s="1"/>
  <c r="F10" i="17" s="1"/>
  <c r="K12" i="4"/>
  <c r="J12" i="4"/>
  <c r="E9" i="16" s="1"/>
  <c r="E10" i="17" s="1"/>
  <c r="I12" i="4"/>
  <c r="H12" i="4"/>
  <c r="D9" i="16" s="1"/>
  <c r="D10" i="17" s="1"/>
  <c r="Q21" i="17" s="1"/>
  <c r="W11" i="4"/>
  <c r="V11" i="4"/>
  <c r="K8" i="16" s="1"/>
  <c r="K9" i="17" s="1"/>
  <c r="U11" i="4"/>
  <c r="T11" i="4"/>
  <c r="I8" i="16" s="1"/>
  <c r="I9" i="17" s="1"/>
  <c r="S11" i="4"/>
  <c r="R11" i="4"/>
  <c r="J8" i="16" s="1"/>
  <c r="J9" i="17" s="1"/>
  <c r="Q11" i="4"/>
  <c r="P11" i="4"/>
  <c r="H8" i="16" s="1"/>
  <c r="H9" i="17" s="1"/>
  <c r="O11" i="4"/>
  <c r="N11" i="4"/>
  <c r="G8" i="16" s="1"/>
  <c r="G9" i="17" s="1"/>
  <c r="M11" i="4"/>
  <c r="L11" i="4"/>
  <c r="F8" i="16" s="1"/>
  <c r="F9" i="17" s="1"/>
  <c r="K11" i="4"/>
  <c r="J11" i="4"/>
  <c r="E8" i="16" s="1"/>
  <c r="E9" i="17" s="1"/>
  <c r="I11" i="4"/>
  <c r="H11" i="4"/>
  <c r="D8" i="16" s="1"/>
  <c r="D9" i="17" s="1"/>
  <c r="W10" i="4"/>
  <c r="V10" i="4"/>
  <c r="K7" i="16" s="1"/>
  <c r="K8" i="17" s="1"/>
  <c r="U10" i="4"/>
  <c r="T10" i="4"/>
  <c r="I7" i="16" s="1"/>
  <c r="I8" i="17" s="1"/>
  <c r="S10" i="4"/>
  <c r="R10" i="4"/>
  <c r="J7" i="16" s="1"/>
  <c r="J8" i="17" s="1"/>
  <c r="Q10" i="4"/>
  <c r="P10" i="4"/>
  <c r="H7" i="16" s="1"/>
  <c r="H8" i="17" s="1"/>
  <c r="O10" i="4"/>
  <c r="N10" i="4"/>
  <c r="G7" i="16" s="1"/>
  <c r="G8" i="17" s="1"/>
  <c r="M10" i="4"/>
  <c r="L10" i="4"/>
  <c r="F7" i="16" s="1"/>
  <c r="F8" i="17" s="1"/>
  <c r="K10" i="4"/>
  <c r="J10" i="4"/>
  <c r="E7" i="16" s="1"/>
  <c r="E8" i="17" s="1"/>
  <c r="I10" i="4"/>
  <c r="H10" i="4"/>
  <c r="D7" i="16" s="1"/>
  <c r="D8" i="17" s="1"/>
  <c r="Q17" i="17" s="1"/>
  <c r="W9" i="4"/>
  <c r="V9" i="4"/>
  <c r="K6" i="16" s="1"/>
  <c r="K7" i="17" s="1"/>
  <c r="U9" i="4"/>
  <c r="T9" i="4"/>
  <c r="I6" i="16" s="1"/>
  <c r="I7" i="17" s="1"/>
  <c r="S9" i="4"/>
  <c r="R9" i="4"/>
  <c r="J6" i="16" s="1"/>
  <c r="J7" i="17" s="1"/>
  <c r="Q9" i="4"/>
  <c r="P9" i="4"/>
  <c r="H6" i="16" s="1"/>
  <c r="H7" i="17" s="1"/>
  <c r="O9" i="4"/>
  <c r="N9" i="4"/>
  <c r="G6" i="16" s="1"/>
  <c r="G7" i="17" s="1"/>
  <c r="M9" i="4"/>
  <c r="L9" i="4"/>
  <c r="F6" i="16" s="1"/>
  <c r="F7" i="17" s="1"/>
  <c r="K9" i="4"/>
  <c r="J9" i="4"/>
  <c r="E6" i="16" s="1"/>
  <c r="E7" i="17" s="1"/>
  <c r="I9" i="4"/>
  <c r="H9" i="4"/>
  <c r="D6" i="16" s="1"/>
  <c r="D7" i="17" s="1"/>
  <c r="W8" i="4"/>
  <c r="V8" i="4"/>
  <c r="K5" i="16" s="1"/>
  <c r="K6" i="17" s="1"/>
  <c r="U8" i="4"/>
  <c r="T8" i="4"/>
  <c r="I5" i="16" s="1"/>
  <c r="I6" i="17" s="1"/>
  <c r="S8" i="4"/>
  <c r="R8" i="4"/>
  <c r="J5" i="16" s="1"/>
  <c r="J6" i="17" s="1"/>
  <c r="Q8" i="4"/>
  <c r="P8" i="4"/>
  <c r="H5" i="16" s="1"/>
  <c r="H6" i="17" s="1"/>
  <c r="O8" i="4"/>
  <c r="N8" i="4"/>
  <c r="G5" i="16" s="1"/>
  <c r="G6" i="17" s="1"/>
  <c r="M8" i="4"/>
  <c r="L8" i="4"/>
  <c r="F5" i="16" s="1"/>
  <c r="F6" i="17" s="1"/>
  <c r="K8" i="4"/>
  <c r="J8" i="4"/>
  <c r="E5" i="16" s="1"/>
  <c r="E6" i="17" s="1"/>
  <c r="I8" i="4"/>
  <c r="H8" i="4"/>
  <c r="D5" i="16" s="1"/>
  <c r="D6" i="17" s="1"/>
  <c r="W7" i="4"/>
  <c r="V7" i="4"/>
  <c r="K4" i="16" s="1"/>
  <c r="K5" i="17" s="1"/>
  <c r="U7" i="4"/>
  <c r="T7" i="4"/>
  <c r="I4" i="16" s="1"/>
  <c r="I5" i="17" s="1"/>
  <c r="S7" i="4"/>
  <c r="R7" i="4"/>
  <c r="J4" i="16" s="1"/>
  <c r="J5" i="17" s="1"/>
  <c r="Q7" i="4"/>
  <c r="P7" i="4"/>
  <c r="H4" i="16" s="1"/>
  <c r="H5" i="17" s="1"/>
  <c r="O7" i="4"/>
  <c r="N7" i="4"/>
  <c r="G4" i="16" s="1"/>
  <c r="G5" i="17" s="1"/>
  <c r="M7" i="4"/>
  <c r="L7" i="4"/>
  <c r="F4" i="16" s="1"/>
  <c r="F5" i="17" s="1"/>
  <c r="K7" i="4"/>
  <c r="J7" i="4"/>
  <c r="E4" i="16" s="1"/>
  <c r="E5" i="17" s="1"/>
  <c r="I7" i="4"/>
  <c r="H7" i="4"/>
  <c r="D4" i="16" s="1"/>
  <c r="D5" i="17" s="1"/>
  <c r="Q19" i="17" s="1"/>
  <c r="W6" i="4"/>
  <c r="V6" i="4"/>
  <c r="K3" i="16" s="1"/>
  <c r="K4" i="17" s="1"/>
  <c r="U6" i="4"/>
  <c r="T6" i="4"/>
  <c r="I3" i="16" s="1"/>
  <c r="I4" i="17" s="1"/>
  <c r="S6" i="4"/>
  <c r="R6" i="4"/>
  <c r="J3" i="16" s="1"/>
  <c r="J4" i="17" s="1"/>
  <c r="Q6" i="4"/>
  <c r="P6" i="4"/>
  <c r="H3" i="16" s="1"/>
  <c r="H4" i="17" s="1"/>
  <c r="O6" i="4"/>
  <c r="N6" i="4"/>
  <c r="G3" i="16" s="1"/>
  <c r="G4" i="17" s="1"/>
  <c r="M6" i="4"/>
  <c r="L6" i="4"/>
  <c r="F3" i="16" s="1"/>
  <c r="F4" i="17" s="1"/>
  <c r="K6" i="4"/>
  <c r="J6" i="4"/>
  <c r="E3" i="16" s="1"/>
  <c r="E4" i="17" s="1"/>
  <c r="I6" i="4"/>
  <c r="H6" i="4"/>
  <c r="D3" i="16" s="1"/>
  <c r="D4" i="17" s="1"/>
  <c r="G13" i="4" l="1"/>
  <c r="G7" i="4"/>
  <c r="G8" i="4"/>
  <c r="G9" i="4"/>
  <c r="G10" i="4"/>
  <c r="G11" i="4"/>
  <c r="G12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6" i="4"/>
  <c r="E68" i="6" l="1"/>
  <c r="H68" i="6"/>
  <c r="K68" i="6"/>
  <c r="N68" i="6"/>
  <c r="Q68" i="6"/>
  <c r="T68" i="6"/>
  <c r="W68" i="6"/>
  <c r="Z68" i="6"/>
  <c r="AC68" i="6"/>
  <c r="AF68" i="6"/>
  <c r="AG85" i="4" l="1"/>
  <c r="AF85" i="4"/>
  <c r="AE85" i="4"/>
  <c r="AG84" i="4"/>
  <c r="AF84" i="4"/>
  <c r="AE84" i="4"/>
  <c r="AG83" i="4"/>
  <c r="AF83" i="4"/>
  <c r="AE83" i="4"/>
  <c r="AG82" i="4"/>
  <c r="AF82" i="4"/>
  <c r="AE82" i="4"/>
  <c r="AG81" i="4"/>
  <c r="AF81" i="4"/>
  <c r="AE81" i="4"/>
  <c r="AG80" i="4"/>
  <c r="AF80" i="4"/>
  <c r="AE80" i="4"/>
  <c r="AG79" i="4"/>
  <c r="AF79" i="4"/>
  <c r="AE79" i="4"/>
  <c r="AG78" i="4"/>
  <c r="AF78" i="4"/>
  <c r="AE78" i="4"/>
  <c r="AG77" i="4"/>
  <c r="AF77" i="4"/>
  <c r="AE77" i="4"/>
  <c r="AG76" i="4"/>
  <c r="AF76" i="4"/>
  <c r="AE76" i="4"/>
  <c r="AG75" i="4"/>
  <c r="AF75" i="4"/>
  <c r="AE75" i="4"/>
  <c r="AG74" i="4"/>
  <c r="AF74" i="4"/>
  <c r="AE74" i="4"/>
  <c r="AG73" i="4"/>
  <c r="AF73" i="4"/>
  <c r="AE73" i="4"/>
  <c r="AG72" i="4"/>
  <c r="AF72" i="4"/>
  <c r="AE72" i="4"/>
  <c r="AG71" i="4"/>
  <c r="AF71" i="4"/>
  <c r="AE71" i="4"/>
  <c r="AG70" i="4"/>
  <c r="AF70" i="4"/>
  <c r="AE70" i="4"/>
  <c r="AG69" i="4"/>
  <c r="AF69" i="4"/>
  <c r="AE69" i="4"/>
  <c r="AG68" i="4"/>
  <c r="AF68" i="4"/>
  <c r="AE68" i="4"/>
  <c r="AG67" i="4"/>
  <c r="AF67" i="4"/>
  <c r="AE67" i="4"/>
  <c r="AG66" i="4"/>
  <c r="AF66" i="4"/>
  <c r="AE66" i="4"/>
  <c r="AG65" i="4"/>
  <c r="AF65" i="4"/>
  <c r="AE65" i="4"/>
  <c r="AG64" i="4"/>
  <c r="AF64" i="4"/>
  <c r="AE64" i="4"/>
  <c r="AG63" i="4"/>
  <c r="AF63" i="4"/>
  <c r="AE63" i="4"/>
  <c r="AG62" i="4"/>
  <c r="AF62" i="4"/>
  <c r="AE62" i="4"/>
  <c r="AG61" i="4"/>
  <c r="AF61" i="4"/>
  <c r="AE61" i="4"/>
  <c r="AG60" i="4"/>
  <c r="AF60" i="4"/>
  <c r="AE60" i="4"/>
  <c r="AG59" i="4"/>
  <c r="AF59" i="4"/>
  <c r="AE59" i="4"/>
  <c r="AG58" i="4"/>
  <c r="AF58" i="4"/>
  <c r="AE58" i="4"/>
  <c r="AG57" i="4"/>
  <c r="AF57" i="4"/>
  <c r="AE57" i="4"/>
  <c r="AG56" i="4"/>
  <c r="AF56" i="4"/>
  <c r="AE56" i="4"/>
  <c r="AG55" i="4"/>
  <c r="AF55" i="4"/>
  <c r="AE55" i="4"/>
  <c r="AG54" i="4"/>
  <c r="AF54" i="4"/>
  <c r="AE54" i="4"/>
  <c r="AG53" i="4"/>
  <c r="AF53" i="4"/>
  <c r="AE53" i="4"/>
  <c r="AG52" i="4"/>
  <c r="AF52" i="4"/>
  <c r="AE52" i="4"/>
  <c r="AG51" i="4"/>
  <c r="AF51" i="4"/>
  <c r="AE51" i="4"/>
  <c r="AG50" i="4"/>
  <c r="AF50" i="4"/>
  <c r="AE50" i="4"/>
  <c r="AG49" i="4"/>
  <c r="AF49" i="4"/>
  <c r="AE49" i="4"/>
  <c r="AG48" i="4"/>
  <c r="AF48" i="4"/>
  <c r="AE48" i="4"/>
  <c r="AG47" i="4"/>
  <c r="AF47" i="4"/>
  <c r="AE47" i="4"/>
  <c r="AG46" i="4"/>
  <c r="AF46" i="4"/>
  <c r="AE46" i="4"/>
  <c r="AG45" i="4"/>
  <c r="AF45" i="4"/>
  <c r="AE45" i="4"/>
  <c r="AG44" i="4"/>
  <c r="AF44" i="4"/>
  <c r="AE44" i="4"/>
  <c r="AG43" i="4"/>
  <c r="AF43" i="4"/>
  <c r="AE43" i="4"/>
  <c r="AG42" i="4"/>
  <c r="AF42" i="4"/>
  <c r="AE42" i="4"/>
  <c r="AG41" i="4"/>
  <c r="AF41" i="4"/>
  <c r="AE41" i="4"/>
  <c r="AG40" i="4"/>
  <c r="AF40" i="4"/>
  <c r="AE40" i="4"/>
  <c r="AF31" i="4"/>
  <c r="AG30" i="4"/>
  <c r="AF30" i="4"/>
  <c r="AE30" i="4"/>
  <c r="AG29" i="4"/>
  <c r="AF29" i="4"/>
  <c r="AE29" i="4"/>
  <c r="AG28" i="4"/>
  <c r="AF28" i="4"/>
  <c r="AE28" i="4"/>
  <c r="AG27" i="4"/>
  <c r="AF27" i="4"/>
  <c r="AE27" i="4"/>
  <c r="AG26" i="4"/>
  <c r="AF26" i="4"/>
  <c r="AE26" i="4"/>
  <c r="AG25" i="4"/>
  <c r="AF25" i="4"/>
  <c r="AE25" i="4"/>
  <c r="AG24" i="4"/>
  <c r="AF24" i="4"/>
  <c r="AE24" i="4"/>
  <c r="AG23" i="4"/>
  <c r="AF23" i="4"/>
  <c r="AE23" i="4"/>
  <c r="AG22" i="4"/>
  <c r="AF22" i="4"/>
  <c r="AE22" i="4"/>
  <c r="AG21" i="4"/>
  <c r="AF21" i="4"/>
  <c r="AE21" i="4"/>
  <c r="AG20" i="4"/>
  <c r="AF20" i="4"/>
  <c r="AE20" i="4"/>
  <c r="AG19" i="4"/>
  <c r="AF19" i="4"/>
  <c r="AE19" i="4"/>
  <c r="AG18" i="4"/>
  <c r="AF18" i="4"/>
  <c r="AE18" i="4"/>
  <c r="AG17" i="4"/>
  <c r="AF17" i="4"/>
  <c r="AE17" i="4"/>
  <c r="AG16" i="4"/>
  <c r="AF16" i="4"/>
  <c r="AE16" i="4"/>
  <c r="AG15" i="4"/>
  <c r="AF15" i="4"/>
  <c r="AE15" i="4"/>
  <c r="AG14" i="4"/>
  <c r="AF14" i="4"/>
  <c r="AE14" i="4"/>
  <c r="AG13" i="4"/>
  <c r="AF13" i="4"/>
  <c r="AE13" i="4"/>
  <c r="AG12" i="4"/>
  <c r="AF12" i="4"/>
  <c r="AE12" i="4"/>
  <c r="AG11" i="4"/>
  <c r="AF11" i="4"/>
  <c r="AE11" i="4"/>
  <c r="AG10" i="4"/>
  <c r="AF10" i="4"/>
  <c r="AE10" i="4"/>
  <c r="AG9" i="4"/>
  <c r="AF9" i="4"/>
  <c r="AE9" i="4"/>
  <c r="AG8" i="4"/>
  <c r="AF8" i="4"/>
  <c r="AE8" i="4"/>
  <c r="AG7" i="4"/>
  <c r="AF7" i="4"/>
  <c r="AE7" i="4"/>
  <c r="AG6" i="4"/>
  <c r="AF6" i="4"/>
  <c r="AE6" i="4"/>
  <c r="AD85" i="4"/>
  <c r="AD84" i="4"/>
  <c r="AD83" i="4"/>
  <c r="AD82" i="4"/>
  <c r="AD81" i="4"/>
  <c r="AD80" i="4"/>
  <c r="AD79" i="4"/>
  <c r="AD78" i="4"/>
  <c r="AD77" i="4"/>
  <c r="AD76" i="4"/>
  <c r="AD75" i="4"/>
  <c r="AD74" i="4"/>
  <c r="AD73" i="4"/>
  <c r="AD72" i="4"/>
  <c r="AD71" i="4"/>
  <c r="AD70" i="4"/>
  <c r="AD69" i="4"/>
  <c r="AD68" i="4"/>
  <c r="AD67" i="4"/>
  <c r="AD66" i="4"/>
  <c r="AD65" i="4"/>
  <c r="AD64" i="4"/>
  <c r="AD63" i="4"/>
  <c r="AD62" i="4"/>
  <c r="AD61" i="4"/>
  <c r="AD60" i="4"/>
  <c r="AD59" i="4"/>
  <c r="AD58" i="4"/>
  <c r="AD57" i="4"/>
  <c r="AD56" i="4"/>
  <c r="AD55" i="4"/>
  <c r="AD54" i="4"/>
  <c r="AD53" i="4"/>
  <c r="AD52" i="4"/>
  <c r="AD51" i="4"/>
  <c r="AD50" i="4"/>
  <c r="AD49" i="4"/>
  <c r="AD48" i="4"/>
  <c r="AD47" i="4"/>
  <c r="AD46" i="4"/>
  <c r="AD45" i="4"/>
  <c r="AD44" i="4"/>
  <c r="AD43" i="4"/>
  <c r="AD42" i="4"/>
  <c r="AD41" i="4"/>
  <c r="AD40" i="4"/>
  <c r="AD30" i="4"/>
  <c r="AD29" i="4"/>
  <c r="AD28" i="4"/>
  <c r="AD27" i="4"/>
  <c r="AD26" i="4"/>
  <c r="AD25" i="4"/>
  <c r="AD24" i="4"/>
  <c r="AD23" i="4"/>
  <c r="AD22" i="4"/>
  <c r="AD21" i="4"/>
  <c r="AD20" i="4"/>
  <c r="AD19" i="4"/>
  <c r="AD18" i="4"/>
  <c r="AD17" i="4"/>
  <c r="AD16" i="4"/>
  <c r="AD15" i="4"/>
  <c r="AD14" i="4"/>
  <c r="AD13" i="4"/>
  <c r="AD12" i="4"/>
  <c r="AD11" i="4"/>
  <c r="AD10" i="4"/>
  <c r="AD9" i="4"/>
  <c r="AD8" i="4"/>
  <c r="AD7" i="4"/>
  <c r="AD6" i="4"/>
  <c r="AC85" i="4"/>
  <c r="AC84" i="4"/>
  <c r="AC83" i="4"/>
  <c r="AC82" i="4"/>
  <c r="AC81" i="4"/>
  <c r="AC80" i="4"/>
  <c r="AC79" i="4"/>
  <c r="AC78" i="4"/>
  <c r="AC77" i="4"/>
  <c r="AC76" i="4"/>
  <c r="AC75" i="4"/>
  <c r="AC74" i="4"/>
  <c r="AC73" i="4"/>
  <c r="AC72" i="4"/>
  <c r="AC71" i="4"/>
  <c r="AC70" i="4"/>
  <c r="AC69" i="4"/>
  <c r="AC68" i="4"/>
  <c r="AC67" i="4"/>
  <c r="AC66" i="4"/>
  <c r="AC65" i="4"/>
  <c r="AC64" i="4"/>
  <c r="AC63" i="4"/>
  <c r="AC62" i="4"/>
  <c r="AC61" i="4"/>
  <c r="AC60" i="4"/>
  <c r="AC59" i="4"/>
  <c r="AC58" i="4"/>
  <c r="AC57" i="4"/>
  <c r="AC56" i="4"/>
  <c r="AC55" i="4"/>
  <c r="AC54" i="4"/>
  <c r="AC53" i="4"/>
  <c r="AC52" i="4"/>
  <c r="AC51" i="4"/>
  <c r="AC50" i="4"/>
  <c r="AC49" i="4"/>
  <c r="AC48" i="4"/>
  <c r="AC47" i="4"/>
  <c r="AC46" i="4"/>
  <c r="AC45" i="4"/>
  <c r="AC44" i="4"/>
  <c r="AC43" i="4"/>
  <c r="AC42" i="4"/>
  <c r="AC41" i="4"/>
  <c r="AC40" i="4"/>
  <c r="AC32" i="4"/>
  <c r="AC30" i="4"/>
  <c r="AC29" i="4"/>
  <c r="AC28" i="4"/>
  <c r="AC27" i="4"/>
  <c r="AC26" i="4"/>
  <c r="AC25" i="4"/>
  <c r="AC24" i="4"/>
  <c r="AC23" i="4"/>
  <c r="AC22" i="4"/>
  <c r="AC21" i="4"/>
  <c r="AC20" i="4"/>
  <c r="AC19" i="4"/>
  <c r="AC18" i="4"/>
  <c r="AC17" i="4"/>
  <c r="AC16" i="4"/>
  <c r="AC15" i="4"/>
  <c r="AC14" i="4"/>
  <c r="AC13" i="4"/>
  <c r="AC12" i="4"/>
  <c r="AC11" i="4"/>
  <c r="AC10" i="4"/>
  <c r="AC9" i="4"/>
  <c r="AC8" i="4"/>
  <c r="AC7" i="4"/>
  <c r="AC6" i="4"/>
  <c r="AB85" i="4" l="1"/>
  <c r="AB84" i="4"/>
  <c r="AB83" i="4"/>
  <c r="AB82" i="4"/>
  <c r="AB81" i="4"/>
  <c r="AB80" i="4"/>
  <c r="AB79" i="4"/>
  <c r="AB78" i="4"/>
  <c r="AB77" i="4"/>
  <c r="AB76" i="4"/>
  <c r="AB75" i="4"/>
  <c r="AB74" i="4"/>
  <c r="AB73" i="4"/>
  <c r="AB72" i="4"/>
  <c r="AB71" i="4"/>
  <c r="AB70" i="4"/>
  <c r="AB69" i="4"/>
  <c r="AB68" i="4"/>
  <c r="AB67" i="4"/>
  <c r="AB66" i="4"/>
  <c r="AB65" i="4"/>
  <c r="AB64" i="4"/>
  <c r="AB63" i="4"/>
  <c r="AB62" i="4"/>
  <c r="AB61" i="4"/>
  <c r="AB60" i="4"/>
  <c r="AB59" i="4"/>
  <c r="AB58" i="4"/>
  <c r="AB57" i="4"/>
  <c r="AB56" i="4"/>
  <c r="AB55" i="4"/>
  <c r="AB54" i="4"/>
  <c r="AB53" i="4"/>
  <c r="AB52" i="4"/>
  <c r="AB51" i="4"/>
  <c r="AB50" i="4"/>
  <c r="AB49" i="4"/>
  <c r="AB48" i="4"/>
  <c r="AB47" i="4"/>
  <c r="AB46" i="4"/>
  <c r="AB45" i="4"/>
  <c r="AB44" i="4"/>
  <c r="AB43" i="4"/>
  <c r="AB42" i="4"/>
  <c r="AB41" i="4"/>
  <c r="AB40" i="4"/>
  <c r="AB31" i="4"/>
  <c r="AB30" i="4"/>
  <c r="AB29" i="4"/>
  <c r="AB28" i="4"/>
  <c r="AB27" i="4"/>
  <c r="AB26" i="4"/>
  <c r="AB25" i="4"/>
  <c r="AB24" i="4"/>
  <c r="AB23" i="4"/>
  <c r="AB22" i="4"/>
  <c r="AB21" i="4"/>
  <c r="AB20" i="4"/>
  <c r="AB19" i="4"/>
  <c r="AB18" i="4"/>
  <c r="AB17" i="4"/>
  <c r="AB16" i="4"/>
  <c r="AB15" i="4"/>
  <c r="AB14" i="4"/>
  <c r="AB13" i="4"/>
  <c r="AB12" i="4"/>
  <c r="AB11" i="4"/>
  <c r="AB10" i="4"/>
  <c r="AB9" i="4"/>
  <c r="AB8" i="4"/>
  <c r="AB7" i="4"/>
  <c r="AB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D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AN80" i="9"/>
  <c r="AX80" i="9" s="1"/>
  <c r="AL21" i="8"/>
  <c r="AV21" i="8" s="1"/>
  <c r="AL68" i="6"/>
  <c r="AV68" i="6" s="1"/>
  <c r="AR40" i="6"/>
  <c r="AP21" i="6"/>
  <c r="AZ21" i="6" s="1"/>
  <c r="AP6" i="6"/>
  <c r="AZ6" i="6" s="1"/>
  <c r="AJ30" i="5"/>
  <c r="AT30" i="5" s="1"/>
  <c r="AM14" i="2"/>
  <c r="AN14" i="2"/>
  <c r="AP21" i="2"/>
  <c r="AM30" i="2"/>
  <c r="AM54" i="2"/>
  <c r="AN54" i="2"/>
  <c r="AL68" i="2"/>
  <c r="AO68" i="2"/>
  <c r="AJ80" i="2"/>
  <c r="AL6" i="2"/>
  <c r="AM6" i="2"/>
  <c r="AS80" i="1"/>
  <c r="AQ80" i="7" s="1"/>
  <c r="AR80" i="1"/>
  <c r="AP80" i="7" s="1"/>
  <c r="AQ80" i="1"/>
  <c r="AO80" i="7" s="1"/>
  <c r="AP80" i="1"/>
  <c r="AO80" i="1"/>
  <c r="AM80" i="7" s="1"/>
  <c r="AN80" i="1"/>
  <c r="AL80" i="7" s="1"/>
  <c r="AM80" i="1"/>
  <c r="AK80" i="7" s="1"/>
  <c r="AL80" i="1"/>
  <c r="AJ80" i="7" s="1"/>
  <c r="AT80" i="7" s="1"/>
  <c r="AK80" i="1"/>
  <c r="AJ80" i="1"/>
  <c r="AS68" i="1"/>
  <c r="AR68" i="1"/>
  <c r="AP68" i="7" s="1"/>
  <c r="AZ68" i="7" s="1"/>
  <c r="AQ68" i="1"/>
  <c r="AP68" i="1"/>
  <c r="AO68" i="1"/>
  <c r="AN68" i="1"/>
  <c r="AM68" i="1"/>
  <c r="AK68" i="2" s="1"/>
  <c r="AL68" i="1"/>
  <c r="AJ68" i="5" s="1"/>
  <c r="AT68" i="5" s="1"/>
  <c r="AK68" i="1"/>
  <c r="AI68" i="6" s="1"/>
  <c r="AJ68" i="1"/>
  <c r="AH68" i="6" s="1"/>
  <c r="AS54" i="1"/>
  <c r="AQ54" i="5" s="1"/>
  <c r="BA54" i="5" s="1"/>
  <c r="AR54" i="1"/>
  <c r="AQ54" i="1"/>
  <c r="AP54" i="1"/>
  <c r="AN54" i="5" s="1"/>
  <c r="AX54" i="5" s="1"/>
  <c r="AO54" i="1"/>
  <c r="AM54" i="5" s="1"/>
  <c r="AW54" i="5" s="1"/>
  <c r="AN54" i="1"/>
  <c r="AM54" i="1"/>
  <c r="AL54" i="1"/>
  <c r="AJ54" i="2" s="1"/>
  <c r="AK54" i="1"/>
  <c r="AI54" i="6" s="1"/>
  <c r="AJ54" i="1"/>
  <c r="AH54" i="6" s="1"/>
  <c r="AS40" i="1"/>
  <c r="AR40" i="1"/>
  <c r="AP40" i="6" s="1"/>
  <c r="AZ40" i="6" s="1"/>
  <c r="AQ40" i="1"/>
  <c r="AO40" i="8" s="1"/>
  <c r="AY40" i="8" s="1"/>
  <c r="AP40" i="1"/>
  <c r="AN40" i="2" s="1"/>
  <c r="AO40" i="1"/>
  <c r="AM40" i="5" s="1"/>
  <c r="AW40" i="5" s="1"/>
  <c r="AN40" i="1"/>
  <c r="AL40" i="6" s="1"/>
  <c r="AV40" i="6" s="1"/>
  <c r="AM40" i="1"/>
  <c r="AL40" i="1"/>
  <c r="AJ40" i="2" s="1"/>
  <c r="AK40" i="1"/>
  <c r="AJ40" i="1"/>
  <c r="AH40" i="6" s="1"/>
  <c r="AS30" i="1"/>
  <c r="AR30" i="1"/>
  <c r="AP30" i="6" s="1"/>
  <c r="AZ30" i="6" s="1"/>
  <c r="AQ30" i="1"/>
  <c r="AP30" i="1"/>
  <c r="AN30" i="5" s="1"/>
  <c r="AX30" i="5" s="1"/>
  <c r="AO30" i="1"/>
  <c r="AN30" i="1"/>
  <c r="AM30" i="1"/>
  <c r="AK30" i="5" s="1"/>
  <c r="AU30" i="5" s="1"/>
  <c r="AL30" i="1"/>
  <c r="AJ30" i="2" s="1"/>
  <c r="AK30" i="1"/>
  <c r="AI30" i="6" s="1"/>
  <c r="AJ30" i="1"/>
  <c r="AH30" i="6" s="1"/>
  <c r="AS21" i="1"/>
  <c r="AQ21" i="7" s="1"/>
  <c r="BA21" i="7" s="1"/>
  <c r="AR21" i="1"/>
  <c r="AQ21" i="1"/>
  <c r="AO21" i="2" s="1"/>
  <c r="AP21" i="1"/>
  <c r="AN21" i="5" s="1"/>
  <c r="AX21" i="5" s="1"/>
  <c r="AO21" i="1"/>
  <c r="AM21" i="7" s="1"/>
  <c r="AW21" i="7" s="1"/>
  <c r="AN21" i="1"/>
  <c r="AL21" i="2" s="1"/>
  <c r="AM21" i="1"/>
  <c r="AK21" i="5" s="1"/>
  <c r="AU21" i="5" s="1"/>
  <c r="AL21" i="1"/>
  <c r="AJ21" i="5" s="1"/>
  <c r="AT21" i="5" s="1"/>
  <c r="AK21" i="1"/>
  <c r="AI21" i="6" s="1"/>
  <c r="AJ21" i="1"/>
  <c r="AS14" i="1"/>
  <c r="AR14" i="1"/>
  <c r="AP14" i="8" s="1"/>
  <c r="AZ14" i="8" s="1"/>
  <c r="AQ14" i="1"/>
  <c r="AO14" i="5" s="1"/>
  <c r="AY14" i="5" s="1"/>
  <c r="AP14" i="1"/>
  <c r="AO14" i="1"/>
  <c r="AN14" i="1"/>
  <c r="AM14" i="1"/>
  <c r="AK14" i="5" s="1"/>
  <c r="AU14" i="5" s="1"/>
  <c r="AL14" i="1"/>
  <c r="AJ14" i="2" s="1"/>
  <c r="AK14" i="1"/>
  <c r="AJ14" i="1"/>
  <c r="AS6" i="1"/>
  <c r="AO6" i="1"/>
  <c r="AR6" i="1"/>
  <c r="AP6" i="2" s="1"/>
  <c r="AQ6" i="1"/>
  <c r="AO6" i="5" s="1"/>
  <c r="AY6" i="5" s="1"/>
  <c r="AP6" i="1"/>
  <c r="AN6" i="1"/>
  <c r="AL6" i="5" s="1"/>
  <c r="AV6" i="5" s="1"/>
  <c r="AM6" i="1"/>
  <c r="AK6" i="5" s="1"/>
  <c r="AU6" i="5" s="1"/>
  <c r="AL6" i="1"/>
  <c r="AK6" i="1"/>
  <c r="AI6" i="6" s="1"/>
  <c r="AJ6" i="1"/>
  <c r="X17" i="4" l="1"/>
  <c r="B14" i="16"/>
  <c r="B15" i="17" s="1"/>
  <c r="X29" i="4"/>
  <c r="B26" i="16"/>
  <c r="B27" i="17" s="1"/>
  <c r="X50" i="4"/>
  <c r="B47" i="16"/>
  <c r="B48" i="17" s="1"/>
  <c r="X58" i="4"/>
  <c r="B55" i="16"/>
  <c r="B56" i="17" s="1"/>
  <c r="X70" i="4"/>
  <c r="B67" i="16"/>
  <c r="B68" i="17" s="1"/>
  <c r="X82" i="4"/>
  <c r="B79" i="16"/>
  <c r="B80" i="17" s="1"/>
  <c r="Y13" i="4"/>
  <c r="C10" i="16"/>
  <c r="C11" i="17" s="1"/>
  <c r="W34" i="17" s="1"/>
  <c r="Y21" i="4"/>
  <c r="C18" i="16"/>
  <c r="C19" i="17" s="1"/>
  <c r="Y42" i="4"/>
  <c r="C39" i="16"/>
  <c r="C40" i="17" s="1"/>
  <c r="Y54" i="4"/>
  <c r="C51" i="16"/>
  <c r="C52" i="17" s="1"/>
  <c r="Y66" i="4"/>
  <c r="C63" i="16"/>
  <c r="C64" i="17" s="1"/>
  <c r="Y74" i="4"/>
  <c r="C71" i="16"/>
  <c r="C72" i="17" s="1"/>
  <c r="W22" i="17" s="1"/>
  <c r="X10" i="4"/>
  <c r="B7" i="16"/>
  <c r="B8" i="17" s="1"/>
  <c r="X14" i="4"/>
  <c r="B11" i="16"/>
  <c r="B12" i="17" s="1"/>
  <c r="X18" i="4"/>
  <c r="B15" i="16"/>
  <c r="B16" i="17" s="1"/>
  <c r="X22" i="4"/>
  <c r="B19" i="16"/>
  <c r="B20" i="17" s="1"/>
  <c r="X26" i="4"/>
  <c r="B23" i="16"/>
  <c r="B24" i="17" s="1"/>
  <c r="X30" i="4"/>
  <c r="B27" i="16"/>
  <c r="B28" i="17" s="1"/>
  <c r="X43" i="4"/>
  <c r="B40" i="16"/>
  <c r="B41" i="17" s="1"/>
  <c r="X47" i="4"/>
  <c r="B44" i="16"/>
  <c r="B45" i="17" s="1"/>
  <c r="X51" i="4"/>
  <c r="B48" i="16"/>
  <c r="B49" i="17" s="1"/>
  <c r="X55" i="4"/>
  <c r="B52" i="16"/>
  <c r="B53" i="17" s="1"/>
  <c r="X59" i="4"/>
  <c r="B56" i="16"/>
  <c r="B57" i="17" s="1"/>
  <c r="X63" i="4"/>
  <c r="B60" i="16"/>
  <c r="B61" i="17" s="1"/>
  <c r="X67" i="4"/>
  <c r="B64" i="16"/>
  <c r="B65" i="17" s="1"/>
  <c r="X71" i="4"/>
  <c r="B68" i="16"/>
  <c r="B69" i="17" s="1"/>
  <c r="X75" i="4"/>
  <c r="B72" i="16"/>
  <c r="B73" i="17" s="1"/>
  <c r="X79" i="4"/>
  <c r="B76" i="16"/>
  <c r="B77" i="17" s="1"/>
  <c r="X83" i="4"/>
  <c r="B80" i="16"/>
  <c r="B81" i="17" s="1"/>
  <c r="Y6" i="4"/>
  <c r="C3" i="16"/>
  <c r="C4" i="17" s="1"/>
  <c r="Y10" i="4"/>
  <c r="C7" i="16"/>
  <c r="C8" i="17" s="1"/>
  <c r="Y14" i="4"/>
  <c r="C11" i="16"/>
  <c r="C12" i="17" s="1"/>
  <c r="Y18" i="4"/>
  <c r="C15" i="16"/>
  <c r="C16" i="17" s="1"/>
  <c r="W33" i="17" s="1"/>
  <c r="Y22" i="4"/>
  <c r="C19" i="16"/>
  <c r="C20" i="17" s="1"/>
  <c r="Y26" i="4"/>
  <c r="C23" i="16"/>
  <c r="C24" i="17" s="1"/>
  <c r="W48" i="17" s="1"/>
  <c r="Y30" i="4"/>
  <c r="C27" i="16"/>
  <c r="C28" i="17" s="1"/>
  <c r="Y43" i="4"/>
  <c r="C40" i="16"/>
  <c r="C41" i="17" s="1"/>
  <c r="W39" i="17" s="1"/>
  <c r="Y47" i="4"/>
  <c r="C44" i="16"/>
  <c r="C45" i="17" s="1"/>
  <c r="Y51" i="4"/>
  <c r="C48" i="16"/>
  <c r="C49" i="17" s="1"/>
  <c r="W35" i="17" s="1"/>
  <c r="Y55" i="4"/>
  <c r="C52" i="16"/>
  <c r="C53" i="17" s="1"/>
  <c r="Y59" i="4"/>
  <c r="C56" i="16"/>
  <c r="C57" i="17" s="1"/>
  <c r="Y63" i="4"/>
  <c r="C60" i="16"/>
  <c r="C61" i="17" s="1"/>
  <c r="Y67" i="4"/>
  <c r="C64" i="16"/>
  <c r="C65" i="17" s="1"/>
  <c r="W52" i="17" s="1"/>
  <c r="Y71" i="4"/>
  <c r="C68" i="16"/>
  <c r="C69" i="17" s="1"/>
  <c r="Y75" i="4"/>
  <c r="C72" i="16"/>
  <c r="C73" i="17" s="1"/>
  <c r="W24" i="17" s="1"/>
  <c r="Y79" i="4"/>
  <c r="C76" i="16"/>
  <c r="C77" i="17" s="1"/>
  <c r="W25" i="17" s="1"/>
  <c r="Y83" i="4"/>
  <c r="C80" i="16"/>
  <c r="C81" i="17" s="1"/>
  <c r="W50" i="17" s="1"/>
  <c r="X9" i="4"/>
  <c r="B6" i="16"/>
  <c r="B7" i="17" s="1"/>
  <c r="X21" i="4"/>
  <c r="B18" i="16"/>
  <c r="B19" i="17" s="1"/>
  <c r="X42" i="4"/>
  <c r="B39" i="16"/>
  <c r="B40" i="17" s="1"/>
  <c r="X54" i="4"/>
  <c r="B51" i="16"/>
  <c r="B52" i="17" s="1"/>
  <c r="X66" i="4"/>
  <c r="B63" i="16"/>
  <c r="B64" i="17" s="1"/>
  <c r="X78" i="4"/>
  <c r="B75" i="16"/>
  <c r="B76" i="17" s="1"/>
  <c r="Y9" i="4"/>
  <c r="C6" i="16"/>
  <c r="C7" i="17" s="1"/>
  <c r="Y25" i="4"/>
  <c r="C22" i="16"/>
  <c r="C23" i="17" s="1"/>
  <c r="Y46" i="4"/>
  <c r="C43" i="16"/>
  <c r="C44" i="17" s="1"/>
  <c r="Y58" i="4"/>
  <c r="C55" i="16"/>
  <c r="C56" i="17" s="1"/>
  <c r="W30" i="17" s="1"/>
  <c r="Y70" i="4"/>
  <c r="C67" i="16"/>
  <c r="C68" i="17" s="1"/>
  <c r="W21" i="17" s="1"/>
  <c r="Y82" i="4"/>
  <c r="C79" i="16"/>
  <c r="C80" i="17" s="1"/>
  <c r="W31" i="17" s="1"/>
  <c r="X7" i="4"/>
  <c r="B4" i="16"/>
  <c r="B5" i="17" s="1"/>
  <c r="X11" i="4"/>
  <c r="B8" i="16"/>
  <c r="B9" i="17" s="1"/>
  <c r="X15" i="4"/>
  <c r="B12" i="16"/>
  <c r="B13" i="17" s="1"/>
  <c r="X19" i="4"/>
  <c r="B16" i="16"/>
  <c r="B17" i="17" s="1"/>
  <c r="X23" i="4"/>
  <c r="B20" i="16"/>
  <c r="B21" i="17" s="1"/>
  <c r="X27" i="4"/>
  <c r="B24" i="16"/>
  <c r="B25" i="17" s="1"/>
  <c r="X40" i="4"/>
  <c r="B37" i="16"/>
  <c r="B38" i="17" s="1"/>
  <c r="X44" i="4"/>
  <c r="B41" i="16"/>
  <c r="B42" i="17" s="1"/>
  <c r="X48" i="4"/>
  <c r="B45" i="16"/>
  <c r="B46" i="17" s="1"/>
  <c r="X52" i="4"/>
  <c r="B49" i="16"/>
  <c r="B50" i="17" s="1"/>
  <c r="X56" i="4"/>
  <c r="B53" i="16"/>
  <c r="B54" i="17" s="1"/>
  <c r="X60" i="4"/>
  <c r="B57" i="16"/>
  <c r="B58" i="17" s="1"/>
  <c r="X64" i="4"/>
  <c r="B61" i="16"/>
  <c r="B62" i="17" s="1"/>
  <c r="X68" i="4"/>
  <c r="B65" i="16"/>
  <c r="B66" i="17" s="1"/>
  <c r="X72" i="4"/>
  <c r="B69" i="16"/>
  <c r="B70" i="17" s="1"/>
  <c r="X76" i="4"/>
  <c r="B73" i="16"/>
  <c r="B74" i="17" s="1"/>
  <c r="X80" i="4"/>
  <c r="B77" i="16"/>
  <c r="B78" i="17" s="1"/>
  <c r="X84" i="4"/>
  <c r="B81" i="16"/>
  <c r="B82" i="17" s="1"/>
  <c r="Y7" i="4"/>
  <c r="C4" i="16"/>
  <c r="C5" i="17" s="1"/>
  <c r="W42" i="17" s="1"/>
  <c r="Y11" i="4"/>
  <c r="C8" i="16"/>
  <c r="C9" i="17" s="1"/>
  <c r="Y15" i="4"/>
  <c r="C12" i="16"/>
  <c r="C13" i="17" s="1"/>
  <c r="W29" i="17" s="1"/>
  <c r="Y19" i="4"/>
  <c r="C16" i="16"/>
  <c r="C17" i="17" s="1"/>
  <c r="W36" i="17" s="1"/>
  <c r="Y23" i="4"/>
  <c r="C20" i="16"/>
  <c r="C21" i="17" s="1"/>
  <c r="Y27" i="4"/>
  <c r="C24" i="16"/>
  <c r="C25" i="17" s="1"/>
  <c r="Y40" i="4"/>
  <c r="C37" i="16"/>
  <c r="C38" i="17" s="1"/>
  <c r="Y44" i="4"/>
  <c r="C41" i="16"/>
  <c r="C42" i="17" s="1"/>
  <c r="Y48" i="4"/>
  <c r="C45" i="16"/>
  <c r="C46" i="17" s="1"/>
  <c r="Y52" i="4"/>
  <c r="C49" i="16"/>
  <c r="C50" i="17" s="1"/>
  <c r="Y56" i="4"/>
  <c r="C53" i="16"/>
  <c r="C54" i="17" s="1"/>
  <c r="Y60" i="4"/>
  <c r="C57" i="16"/>
  <c r="C58" i="17" s="1"/>
  <c r="W51" i="17" s="1"/>
  <c r="Y64" i="4"/>
  <c r="C61" i="16"/>
  <c r="C62" i="17" s="1"/>
  <c r="Y68" i="4"/>
  <c r="C65" i="16"/>
  <c r="C66" i="17" s="1"/>
  <c r="Y72" i="4"/>
  <c r="C69" i="16"/>
  <c r="C70" i="17" s="1"/>
  <c r="Y76" i="4"/>
  <c r="C73" i="16"/>
  <c r="C74" i="17" s="1"/>
  <c r="Y80" i="4"/>
  <c r="C77" i="16"/>
  <c r="C78" i="17" s="1"/>
  <c r="Y84" i="4"/>
  <c r="C81" i="16"/>
  <c r="C82" i="17" s="1"/>
  <c r="W47" i="17" s="1"/>
  <c r="X13" i="4"/>
  <c r="B10" i="16"/>
  <c r="B11" i="17" s="1"/>
  <c r="X25" i="4"/>
  <c r="B22" i="16"/>
  <c r="B23" i="17" s="1"/>
  <c r="X46" i="4"/>
  <c r="B43" i="16"/>
  <c r="B44" i="17" s="1"/>
  <c r="X62" i="4"/>
  <c r="B59" i="16"/>
  <c r="B60" i="17" s="1"/>
  <c r="X74" i="4"/>
  <c r="B71" i="16"/>
  <c r="B72" i="17" s="1"/>
  <c r="X6" i="4"/>
  <c r="B3" i="16"/>
  <c r="B4" i="17" s="1"/>
  <c r="Y17" i="4"/>
  <c r="C14" i="16"/>
  <c r="C15" i="17" s="1"/>
  <c r="W19" i="17" s="1"/>
  <c r="Y29" i="4"/>
  <c r="C26" i="16"/>
  <c r="C27" i="17" s="1"/>
  <c r="Y50" i="4"/>
  <c r="C47" i="16"/>
  <c r="C48" i="17" s="1"/>
  <c r="Y62" i="4"/>
  <c r="C59" i="16"/>
  <c r="C60" i="17" s="1"/>
  <c r="Y78" i="4"/>
  <c r="C75" i="16"/>
  <c r="C76" i="17" s="1"/>
  <c r="X8" i="4"/>
  <c r="B5" i="16"/>
  <c r="B6" i="17" s="1"/>
  <c r="X12" i="4"/>
  <c r="B9" i="16"/>
  <c r="B10" i="17" s="1"/>
  <c r="X16" i="4"/>
  <c r="B13" i="16"/>
  <c r="B14" i="17" s="1"/>
  <c r="X20" i="4"/>
  <c r="B17" i="16"/>
  <c r="B18" i="17" s="1"/>
  <c r="X24" i="4"/>
  <c r="B21" i="16"/>
  <c r="B22" i="17" s="1"/>
  <c r="X28" i="4"/>
  <c r="B25" i="16"/>
  <c r="B26" i="17" s="1"/>
  <c r="X41" i="4"/>
  <c r="B38" i="16"/>
  <c r="B39" i="17" s="1"/>
  <c r="X45" i="4"/>
  <c r="B42" i="16"/>
  <c r="B43" i="17" s="1"/>
  <c r="X49" i="4"/>
  <c r="B46" i="16"/>
  <c r="B47" i="17" s="1"/>
  <c r="X53" i="4"/>
  <c r="B50" i="16"/>
  <c r="B51" i="17" s="1"/>
  <c r="X57" i="4"/>
  <c r="B54" i="16"/>
  <c r="B55" i="17" s="1"/>
  <c r="X61" i="4"/>
  <c r="B58" i="16"/>
  <c r="B59" i="17" s="1"/>
  <c r="X65" i="4"/>
  <c r="B62" i="16"/>
  <c r="B63" i="17" s="1"/>
  <c r="X69" i="4"/>
  <c r="B66" i="16"/>
  <c r="B67" i="17" s="1"/>
  <c r="X73" i="4"/>
  <c r="B70" i="16"/>
  <c r="B71" i="17" s="1"/>
  <c r="X77" i="4"/>
  <c r="B74" i="16"/>
  <c r="B75" i="17" s="1"/>
  <c r="X81" i="4"/>
  <c r="B78" i="16"/>
  <c r="B79" i="17" s="1"/>
  <c r="X85" i="4"/>
  <c r="B82" i="16"/>
  <c r="B83" i="17" s="1"/>
  <c r="Y8" i="4"/>
  <c r="C5" i="16"/>
  <c r="C6" i="17" s="1"/>
  <c r="Y12" i="4"/>
  <c r="C9" i="16"/>
  <c r="C10" i="17" s="1"/>
  <c r="W44" i="17" s="1"/>
  <c r="Y16" i="4"/>
  <c r="C13" i="16"/>
  <c r="C14" i="17" s="1"/>
  <c r="W32" i="17" s="1"/>
  <c r="Y20" i="4"/>
  <c r="C17" i="16"/>
  <c r="C18" i="17" s="1"/>
  <c r="Y24" i="4"/>
  <c r="C21" i="16"/>
  <c r="C22" i="17" s="1"/>
  <c r="Y28" i="4"/>
  <c r="C25" i="16"/>
  <c r="C26" i="17" s="1"/>
  <c r="W37" i="17" s="1"/>
  <c r="Y41" i="4"/>
  <c r="C38" i="16"/>
  <c r="C39" i="17" s="1"/>
  <c r="Y45" i="4"/>
  <c r="C42" i="16"/>
  <c r="C43" i="17" s="1"/>
  <c r="Y49" i="4"/>
  <c r="C46" i="16"/>
  <c r="C47" i="17" s="1"/>
  <c r="W49" i="17" s="1"/>
  <c r="Y53" i="4"/>
  <c r="C50" i="16"/>
  <c r="C51" i="17" s="1"/>
  <c r="W20" i="17" s="1"/>
  <c r="Y57" i="4"/>
  <c r="C54" i="16"/>
  <c r="C55" i="17" s="1"/>
  <c r="W41" i="17" s="1"/>
  <c r="Y61" i="4"/>
  <c r="C58" i="16"/>
  <c r="C59" i="17" s="1"/>
  <c r="Y65" i="4"/>
  <c r="C62" i="16"/>
  <c r="C63" i="17" s="1"/>
  <c r="W43" i="17" s="1"/>
  <c r="Y69" i="4"/>
  <c r="C66" i="16"/>
  <c r="C67" i="17" s="1"/>
  <c r="Y73" i="4"/>
  <c r="C70" i="16"/>
  <c r="C71" i="17" s="1"/>
  <c r="W23" i="17" s="1"/>
  <c r="Y77" i="4"/>
  <c r="C74" i="16"/>
  <c r="C75" i="17" s="1"/>
  <c r="Y81" i="4"/>
  <c r="C78" i="16"/>
  <c r="C79" i="17" s="1"/>
  <c r="W40" i="17" s="1"/>
  <c r="Y85" i="4"/>
  <c r="C82" i="16"/>
  <c r="C83" i="17" s="1"/>
  <c r="W38" i="17" s="1"/>
  <c r="AP14" i="6"/>
  <c r="AZ14" i="6" s="1"/>
  <c r="AN21" i="9"/>
  <c r="AX21" i="9" s="1"/>
  <c r="AH80" i="6"/>
  <c r="AR80" i="6" s="1"/>
  <c r="AH80" i="7"/>
  <c r="AR80" i="7" s="1"/>
  <c r="AI80" i="5"/>
  <c r="AS80" i="5" s="1"/>
  <c r="AI80" i="6"/>
  <c r="AI80" i="7"/>
  <c r="AS80" i="7" s="1"/>
  <c r="AP80" i="2"/>
  <c r="AH80" i="2"/>
  <c r="AP6" i="7"/>
  <c r="AZ6" i="7" s="1"/>
  <c r="AH6" i="7"/>
  <c r="AR6" i="7" s="1"/>
  <c r="AH6" i="6"/>
  <c r="AR21" i="6"/>
  <c r="AH21" i="6"/>
  <c r="AN80" i="11"/>
  <c r="AX80" i="11" s="1"/>
  <c r="AN80" i="7"/>
  <c r="AN80" i="2"/>
  <c r="AP68" i="2"/>
  <c r="AH68" i="2"/>
  <c r="AN30" i="2"/>
  <c r="AH21" i="2"/>
  <c r="AQ80" i="5"/>
  <c r="BA80" i="5" s="1"/>
  <c r="AP14" i="7"/>
  <c r="AZ14" i="7" s="1"/>
  <c r="AI40" i="7"/>
  <c r="AS40" i="7" s="1"/>
  <c r="AI40" i="6"/>
  <c r="AL80" i="2"/>
  <c r="AQ6" i="14"/>
  <c r="BA6" i="14" s="1"/>
  <c r="AQ6" i="13"/>
  <c r="BA6" i="13" s="1"/>
  <c r="AQ6" i="12"/>
  <c r="BA6" i="12" s="1"/>
  <c r="AQ6" i="11"/>
  <c r="BA6" i="11" s="1"/>
  <c r="AQ6" i="10"/>
  <c r="BA6" i="10" s="1"/>
  <c r="AQ6" i="9"/>
  <c r="BA6" i="9" s="1"/>
  <c r="AQ6" i="8"/>
  <c r="BA6" i="8" s="1"/>
  <c r="AQ6" i="5"/>
  <c r="BA6" i="5" s="1"/>
  <c r="AQ6" i="7"/>
  <c r="BA6" i="7" s="1"/>
  <c r="AQ6" i="6"/>
  <c r="BA6" i="6" s="1"/>
  <c r="AI21" i="14"/>
  <c r="AS21" i="14" s="1"/>
  <c r="AI21" i="13"/>
  <c r="AS21" i="13" s="1"/>
  <c r="AI21" i="11"/>
  <c r="AS21" i="11" s="1"/>
  <c r="AI21" i="12"/>
  <c r="AS21" i="12" s="1"/>
  <c r="AI21" i="10"/>
  <c r="AS21" i="10" s="1"/>
  <c r="AI21" i="9"/>
  <c r="AS21" i="9" s="1"/>
  <c r="AI21" i="8"/>
  <c r="AS21" i="8" s="1"/>
  <c r="AI21" i="5"/>
  <c r="AS21" i="5" s="1"/>
  <c r="AI21" i="2"/>
  <c r="AS21" i="6"/>
  <c r="AO30" i="14"/>
  <c r="AY30" i="14" s="1"/>
  <c r="AO30" i="13"/>
  <c r="AY30" i="13" s="1"/>
  <c r="AO30" i="12"/>
  <c r="AY30" i="12" s="1"/>
  <c r="AO30" i="10"/>
  <c r="AY30" i="10" s="1"/>
  <c r="AO30" i="11"/>
  <c r="AY30" i="11" s="1"/>
  <c r="AO30" i="8"/>
  <c r="AY30" i="8" s="1"/>
  <c r="AO30" i="9"/>
  <c r="AY30" i="9" s="1"/>
  <c r="AO30" i="6"/>
  <c r="AY30" i="6" s="1"/>
  <c r="AO30" i="2"/>
  <c r="AQ40" i="14"/>
  <c r="BA40" i="14" s="1"/>
  <c r="AQ40" i="12"/>
  <c r="BA40" i="12" s="1"/>
  <c r="AQ40" i="11"/>
  <c r="BA40" i="11" s="1"/>
  <c r="AQ40" i="10"/>
  <c r="BA40" i="10" s="1"/>
  <c r="AQ40" i="9"/>
  <c r="BA40" i="9" s="1"/>
  <c r="AQ40" i="13"/>
  <c r="BA40" i="13" s="1"/>
  <c r="AQ40" i="8"/>
  <c r="BA40" i="8" s="1"/>
  <c r="AQ40" i="6"/>
  <c r="BA40" i="6" s="1"/>
  <c r="AO54" i="14"/>
  <c r="AY54" i="14" s="1"/>
  <c r="AO54" i="13"/>
  <c r="AY54" i="13" s="1"/>
  <c r="AO54" i="12"/>
  <c r="AY54" i="12" s="1"/>
  <c r="AO54" i="10"/>
  <c r="AY54" i="10" s="1"/>
  <c r="AO54" i="11"/>
  <c r="AY54" i="11" s="1"/>
  <c r="AO54" i="8"/>
  <c r="AY54" i="8" s="1"/>
  <c r="AO54" i="9"/>
  <c r="AY54" i="9" s="1"/>
  <c r="AO54" i="2"/>
  <c r="AO54" i="5"/>
  <c r="AY54" i="5" s="1"/>
  <c r="AO54" i="7"/>
  <c r="AY54" i="7" s="1"/>
  <c r="AQ68" i="14"/>
  <c r="BA68" i="14" s="1"/>
  <c r="AQ68" i="13"/>
  <c r="BA68" i="13" s="1"/>
  <c r="AQ68" i="12"/>
  <c r="BA68" i="12" s="1"/>
  <c r="AQ68" i="11"/>
  <c r="BA68" i="11" s="1"/>
  <c r="AQ68" i="10"/>
  <c r="BA68" i="10" s="1"/>
  <c r="AQ68" i="9"/>
  <c r="BA68" i="9" s="1"/>
  <c r="AQ68" i="8"/>
  <c r="BA68" i="8" s="1"/>
  <c r="AQ68" i="7"/>
  <c r="BA68" i="7" s="1"/>
  <c r="AQ68" i="5"/>
  <c r="BA68" i="5" s="1"/>
  <c r="AQ68" i="6"/>
  <c r="BA68" i="6" s="1"/>
  <c r="AI21" i="7"/>
  <c r="AS21" i="7" s="1"/>
  <c r="AJ6" i="14"/>
  <c r="AT6" i="14" s="1"/>
  <c r="AJ6" i="11"/>
  <c r="AT6" i="11" s="1"/>
  <c r="AJ6" i="8"/>
  <c r="AT6" i="8" s="1"/>
  <c r="AJ6" i="12"/>
  <c r="AT6" i="12" s="1"/>
  <c r="AJ6" i="13"/>
  <c r="AT6" i="13" s="1"/>
  <c r="AJ6" i="5"/>
  <c r="AT6" i="5" s="1"/>
  <c r="AJ6" i="10"/>
  <c r="AT6" i="10" s="1"/>
  <c r="AJ6" i="7"/>
  <c r="AT6" i="7" s="1"/>
  <c r="AJ6" i="6"/>
  <c r="AT6" i="6" s="1"/>
  <c r="AL14" i="14"/>
  <c r="AV14" i="14" s="1"/>
  <c r="AL14" i="13"/>
  <c r="AV14" i="13" s="1"/>
  <c r="AL14" i="12"/>
  <c r="AV14" i="12" s="1"/>
  <c r="AL14" i="10"/>
  <c r="AV14" i="10" s="1"/>
  <c r="AL14" i="9"/>
  <c r="AV14" i="9" s="1"/>
  <c r="AL14" i="8"/>
  <c r="AV14" i="8" s="1"/>
  <c r="AL14" i="2"/>
  <c r="AL14" i="11"/>
  <c r="AV14" i="11" s="1"/>
  <c r="AH30" i="13"/>
  <c r="AR30" i="13" s="1"/>
  <c r="AH30" i="12"/>
  <c r="AR30" i="12" s="1"/>
  <c r="AH30" i="14"/>
  <c r="AR30" i="14" s="1"/>
  <c r="AH30" i="11"/>
  <c r="AR30" i="11" s="1"/>
  <c r="AH30" i="10"/>
  <c r="AR30" i="10" s="1"/>
  <c r="AH30" i="9"/>
  <c r="AR30" i="9" s="1"/>
  <c r="AH30" i="8"/>
  <c r="AR30" i="8" s="1"/>
  <c r="AH30" i="5"/>
  <c r="AR30" i="5" s="1"/>
  <c r="AH30" i="2"/>
  <c r="AH30" i="7"/>
  <c r="AR30" i="7" s="1"/>
  <c r="AH54" i="14"/>
  <c r="AR54" i="14" s="1"/>
  <c r="AH54" i="13"/>
  <c r="AR54" i="13" s="1"/>
  <c r="AH54" i="12"/>
  <c r="AR54" i="12" s="1"/>
  <c r="AH54" i="11"/>
  <c r="AR54" i="11" s="1"/>
  <c r="AH54" i="9"/>
  <c r="AR54" i="9" s="1"/>
  <c r="AH54" i="10"/>
  <c r="AR54" i="10" s="1"/>
  <c r="AH54" i="8"/>
  <c r="AR54" i="8" s="1"/>
  <c r="AH54" i="7"/>
  <c r="AR54" i="7" s="1"/>
  <c r="AH54" i="5"/>
  <c r="AR54" i="5" s="1"/>
  <c r="AH54" i="2"/>
  <c r="AR54" i="6"/>
  <c r="AL14" i="5"/>
  <c r="AV14" i="5" s="1"/>
  <c r="AN40" i="5"/>
  <c r="AX40" i="5" s="1"/>
  <c r="AP68" i="6"/>
  <c r="AZ68" i="6" s="1"/>
  <c r="AI6" i="14"/>
  <c r="AS6" i="14" s="1"/>
  <c r="AI6" i="13"/>
  <c r="AS6" i="13" s="1"/>
  <c r="AI6" i="12"/>
  <c r="AS6" i="12" s="1"/>
  <c r="AI6" i="11"/>
  <c r="AS6" i="11" s="1"/>
  <c r="AI6" i="10"/>
  <c r="AS6" i="10" s="1"/>
  <c r="AI6" i="9"/>
  <c r="AS6" i="9" s="1"/>
  <c r="AI6" i="8"/>
  <c r="AS6" i="8" s="1"/>
  <c r="AI6" i="5"/>
  <c r="AS6" i="5" s="1"/>
  <c r="AI6" i="7"/>
  <c r="AS6" i="7" s="1"/>
  <c r="AS6" i="6"/>
  <c r="AK14" i="14"/>
  <c r="AU14" i="14" s="1"/>
  <c r="AK14" i="13"/>
  <c r="AU14" i="13" s="1"/>
  <c r="AK14" i="12"/>
  <c r="AU14" i="12" s="1"/>
  <c r="AK14" i="11"/>
  <c r="AU14" i="11" s="1"/>
  <c r="AK14" i="8"/>
  <c r="AU14" i="8" s="1"/>
  <c r="AK14" i="10"/>
  <c r="AU14" i="10" s="1"/>
  <c r="AK14" i="7"/>
  <c r="AU14" i="7" s="1"/>
  <c r="AK14" i="6"/>
  <c r="AU14" i="6" s="1"/>
  <c r="AK14" i="2"/>
  <c r="AK14" i="9"/>
  <c r="AU14" i="9" s="1"/>
  <c r="AM21" i="14"/>
  <c r="AW21" i="14" s="1"/>
  <c r="AM21" i="13"/>
  <c r="AW21" i="13" s="1"/>
  <c r="AM21" i="11"/>
  <c r="AW21" i="11" s="1"/>
  <c r="AM21" i="12"/>
  <c r="AW21" i="12" s="1"/>
  <c r="AM21" i="10"/>
  <c r="AW21" i="10" s="1"/>
  <c r="AM21" i="9"/>
  <c r="AW21" i="9" s="1"/>
  <c r="AM21" i="8"/>
  <c r="AW21" i="8" s="1"/>
  <c r="AM21" i="5"/>
  <c r="AW21" i="5" s="1"/>
  <c r="AM21" i="2"/>
  <c r="AM21" i="6"/>
  <c r="AW21" i="6" s="1"/>
  <c r="AK30" i="14"/>
  <c r="AU30" i="14" s="1"/>
  <c r="AK30" i="13"/>
  <c r="AU30" i="13" s="1"/>
  <c r="AK30" i="12"/>
  <c r="AU30" i="12" s="1"/>
  <c r="AK30" i="11"/>
  <c r="AU30" i="11" s="1"/>
  <c r="AK30" i="10"/>
  <c r="AU30" i="10" s="1"/>
  <c r="AK30" i="9"/>
  <c r="AU30" i="9" s="1"/>
  <c r="AK30" i="8"/>
  <c r="AU30" i="8" s="1"/>
  <c r="AK30" i="6"/>
  <c r="AU30" i="6" s="1"/>
  <c r="AK30" i="2"/>
  <c r="AM40" i="14"/>
  <c r="AW40" i="14" s="1"/>
  <c r="AM40" i="13"/>
  <c r="AW40" i="13" s="1"/>
  <c r="AM40" i="11"/>
  <c r="AW40" i="11" s="1"/>
  <c r="AM40" i="12"/>
  <c r="AW40" i="12" s="1"/>
  <c r="AM40" i="10"/>
  <c r="AW40" i="10" s="1"/>
  <c r="AM40" i="9"/>
  <c r="AW40" i="9" s="1"/>
  <c r="AM40" i="8"/>
  <c r="AW40" i="8" s="1"/>
  <c r="AM40" i="6"/>
  <c r="AW40" i="6" s="1"/>
  <c r="AI68" i="14"/>
  <c r="AS68" i="14" s="1"/>
  <c r="AI68" i="13"/>
  <c r="AS68" i="13" s="1"/>
  <c r="AI68" i="12"/>
  <c r="AS68" i="12" s="1"/>
  <c r="AI68" i="11"/>
  <c r="AS68" i="11" s="1"/>
  <c r="AI68" i="10"/>
  <c r="AS68" i="10" s="1"/>
  <c r="AI68" i="9"/>
  <c r="AS68" i="9" s="1"/>
  <c r="AI68" i="8"/>
  <c r="AS68" i="8" s="1"/>
  <c r="AI68" i="7"/>
  <c r="AS68" i="7" s="1"/>
  <c r="AI68" i="5"/>
  <c r="AS68" i="5" s="1"/>
  <c r="AS68" i="6"/>
  <c r="AK80" i="14"/>
  <c r="AU80" i="14" s="1"/>
  <c r="AK80" i="13"/>
  <c r="AU80" i="13" s="1"/>
  <c r="AK80" i="12"/>
  <c r="AU80" i="12" s="1"/>
  <c r="AK80" i="11"/>
  <c r="AU80" i="11" s="1"/>
  <c r="AK80" i="10"/>
  <c r="AU80" i="10" s="1"/>
  <c r="AK80" i="9"/>
  <c r="AU80" i="9" s="1"/>
  <c r="AU80" i="7"/>
  <c r="AK80" i="8"/>
  <c r="AU80" i="8" s="1"/>
  <c r="AK80" i="6"/>
  <c r="AU80" i="6" s="1"/>
  <c r="AK80" i="5"/>
  <c r="AU80" i="5" s="1"/>
  <c r="AQ6" i="2"/>
  <c r="AO54" i="6"/>
  <c r="AY54" i="6" s="1"/>
  <c r="AH14" i="13"/>
  <c r="AR14" i="13" s="1"/>
  <c r="AH14" i="14"/>
  <c r="AR14" i="14" s="1"/>
  <c r="AH14" i="12"/>
  <c r="AR14" i="12" s="1"/>
  <c r="AH14" i="11"/>
  <c r="AR14" i="11" s="1"/>
  <c r="AH14" i="10"/>
  <c r="AR14" i="10" s="1"/>
  <c r="AH14" i="9"/>
  <c r="AR14" i="9" s="1"/>
  <c r="AH14" i="8"/>
  <c r="AR14" i="8" s="1"/>
  <c r="AH14" i="2"/>
  <c r="AJ21" i="14"/>
  <c r="AT21" i="14" s="1"/>
  <c r="AJ21" i="13"/>
  <c r="AT21" i="13" s="1"/>
  <c r="AJ21" i="12"/>
  <c r="AT21" i="12" s="1"/>
  <c r="AJ21" i="11"/>
  <c r="AT21" i="11" s="1"/>
  <c r="AJ21" i="10"/>
  <c r="AT21" i="10" s="1"/>
  <c r="AJ21" i="9"/>
  <c r="AT21" i="9" s="1"/>
  <c r="AJ21" i="8"/>
  <c r="AT21" i="8" s="1"/>
  <c r="AJ21" i="6"/>
  <c r="AT21" i="6" s="1"/>
  <c r="AJ21" i="2"/>
  <c r="AJ21" i="7"/>
  <c r="AT21" i="7" s="1"/>
  <c r="AL30" i="14"/>
  <c r="AV30" i="14" s="1"/>
  <c r="AL30" i="13"/>
  <c r="AV30" i="13" s="1"/>
  <c r="AL30" i="12"/>
  <c r="AV30" i="12" s="1"/>
  <c r="AL30" i="11"/>
  <c r="AV30" i="11" s="1"/>
  <c r="AL30" i="10"/>
  <c r="AV30" i="10" s="1"/>
  <c r="AL30" i="9"/>
  <c r="AV30" i="9" s="1"/>
  <c r="AL30" i="8"/>
  <c r="AV30" i="8" s="1"/>
  <c r="AL30" i="5"/>
  <c r="AV30" i="5" s="1"/>
  <c r="AL30" i="2"/>
  <c r="AL30" i="7"/>
  <c r="AV30" i="7" s="1"/>
  <c r="AJ40" i="14"/>
  <c r="AT40" i="14" s="1"/>
  <c r="AJ40" i="13"/>
  <c r="AT40" i="13" s="1"/>
  <c r="AJ40" i="12"/>
  <c r="AT40" i="12" s="1"/>
  <c r="AJ40" i="11"/>
  <c r="AT40" i="11" s="1"/>
  <c r="AJ40" i="8"/>
  <c r="AT40" i="8" s="1"/>
  <c r="AJ40" i="9"/>
  <c r="AT40" i="9" s="1"/>
  <c r="AJ40" i="10"/>
  <c r="AT40" i="10" s="1"/>
  <c r="AJ40" i="6"/>
  <c r="AT40" i="6" s="1"/>
  <c r="AJ40" i="7"/>
  <c r="AT40" i="7" s="1"/>
  <c r="AL54" i="14"/>
  <c r="AV54" i="14" s="1"/>
  <c r="AL54" i="13"/>
  <c r="AV54" i="13" s="1"/>
  <c r="AL54" i="12"/>
  <c r="AV54" i="12" s="1"/>
  <c r="AL54" i="11"/>
  <c r="AV54" i="11" s="1"/>
  <c r="AL54" i="10"/>
  <c r="AV54" i="10" s="1"/>
  <c r="AL54" i="9"/>
  <c r="AV54" i="9" s="1"/>
  <c r="AL54" i="8"/>
  <c r="AV54" i="8" s="1"/>
  <c r="AL54" i="7"/>
  <c r="AV54" i="7" s="1"/>
  <c r="AL54" i="5"/>
  <c r="AV54" i="5" s="1"/>
  <c r="AL54" i="2"/>
  <c r="AL54" i="6"/>
  <c r="AV54" i="6" s="1"/>
  <c r="AJ68" i="14"/>
  <c r="AT68" i="14" s="1"/>
  <c r="AJ68" i="13"/>
  <c r="AT68" i="13" s="1"/>
  <c r="AJ68" i="12"/>
  <c r="AT68" i="12" s="1"/>
  <c r="AJ68" i="11"/>
  <c r="AT68" i="11" s="1"/>
  <c r="AJ68" i="10"/>
  <c r="AT68" i="10" s="1"/>
  <c r="AJ68" i="9"/>
  <c r="AT68" i="9" s="1"/>
  <c r="AJ68" i="7"/>
  <c r="AT68" i="7" s="1"/>
  <c r="AJ68" i="6"/>
  <c r="AT68" i="6" s="1"/>
  <c r="AJ68" i="8"/>
  <c r="AT68" i="8" s="1"/>
  <c r="AN68" i="14"/>
  <c r="AX68" i="14" s="1"/>
  <c r="AN68" i="13"/>
  <c r="AX68" i="13" s="1"/>
  <c r="AN68" i="12"/>
  <c r="AX68" i="12" s="1"/>
  <c r="AN68" i="11"/>
  <c r="AX68" i="11" s="1"/>
  <c r="AN68" i="10"/>
  <c r="AX68" i="10" s="1"/>
  <c r="AN68" i="7"/>
  <c r="AX68" i="7" s="1"/>
  <c r="AN68" i="9"/>
  <c r="AX68" i="9" s="1"/>
  <c r="AN68" i="8"/>
  <c r="AX68" i="8" s="1"/>
  <c r="AN68" i="6"/>
  <c r="AX68" i="6" s="1"/>
  <c r="AL80" i="14"/>
  <c r="AV80" i="14" s="1"/>
  <c r="AL80" i="13"/>
  <c r="AV80" i="13" s="1"/>
  <c r="AL80" i="12"/>
  <c r="AV80" i="12" s="1"/>
  <c r="AL80" i="11"/>
  <c r="AV80" i="11" s="1"/>
  <c r="AL80" i="10"/>
  <c r="AV80" i="10" s="1"/>
  <c r="AL80" i="9"/>
  <c r="AV80" i="9" s="1"/>
  <c r="AL80" i="8"/>
  <c r="AV80" i="8" s="1"/>
  <c r="AV80" i="7"/>
  <c r="AL80" i="5"/>
  <c r="AV80" i="5" s="1"/>
  <c r="AK80" i="2"/>
  <c r="AI40" i="2"/>
  <c r="AK6" i="13"/>
  <c r="AU6" i="13" s="1"/>
  <c r="AK6" i="14"/>
  <c r="AU6" i="14" s="1"/>
  <c r="AK6" i="12"/>
  <c r="AU6" i="12" s="1"/>
  <c r="AK6" i="11"/>
  <c r="AU6" i="11" s="1"/>
  <c r="AK6" i="8"/>
  <c r="AU6" i="8" s="1"/>
  <c r="AK6" i="10"/>
  <c r="AU6" i="10" s="1"/>
  <c r="AK6" i="9"/>
  <c r="AU6" i="9" s="1"/>
  <c r="AK6" i="7"/>
  <c r="AU6" i="7" s="1"/>
  <c r="AK6" i="6"/>
  <c r="AU6" i="6" s="1"/>
  <c r="AI14" i="14"/>
  <c r="AS14" i="14" s="1"/>
  <c r="AI14" i="13"/>
  <c r="AS14" i="13" s="1"/>
  <c r="AI14" i="12"/>
  <c r="AS14" i="12" s="1"/>
  <c r="AI14" i="11"/>
  <c r="AS14" i="11" s="1"/>
  <c r="AI14" i="10"/>
  <c r="AS14" i="10" s="1"/>
  <c r="AI14" i="9"/>
  <c r="AS14" i="9" s="1"/>
  <c r="AI14" i="8"/>
  <c r="AS14" i="8" s="1"/>
  <c r="AI14" i="5"/>
  <c r="AS14" i="5" s="1"/>
  <c r="AI14" i="7"/>
  <c r="AS14" i="7" s="1"/>
  <c r="AS14" i="6"/>
  <c r="AQ14" i="14"/>
  <c r="BA14" i="14" s="1"/>
  <c r="AQ14" i="13"/>
  <c r="BA14" i="13" s="1"/>
  <c r="AQ14" i="12"/>
  <c r="BA14" i="12" s="1"/>
  <c r="AQ14" i="11"/>
  <c r="BA14" i="11" s="1"/>
  <c r="AQ14" i="10"/>
  <c r="BA14" i="10" s="1"/>
  <c r="AQ14" i="9"/>
  <c r="BA14" i="9" s="1"/>
  <c r="AQ14" i="8"/>
  <c r="BA14" i="8" s="1"/>
  <c r="AQ14" i="5"/>
  <c r="BA14" i="5" s="1"/>
  <c r="AQ14" i="7"/>
  <c r="BA14" i="7" s="1"/>
  <c r="AQ14" i="6"/>
  <c r="BA14" i="6" s="1"/>
  <c r="AO21" i="14"/>
  <c r="AY21" i="14" s="1"/>
  <c r="AO21" i="13"/>
  <c r="AY21" i="13" s="1"/>
  <c r="AO21" i="12"/>
  <c r="AY21" i="12" s="1"/>
  <c r="AO21" i="11"/>
  <c r="AY21" i="11" s="1"/>
  <c r="AO21" i="10"/>
  <c r="AY21" i="10" s="1"/>
  <c r="AO21" i="8"/>
  <c r="AY21" i="8" s="1"/>
  <c r="AO21" i="9"/>
  <c r="AY21" i="9" s="1"/>
  <c r="AO21" i="6"/>
  <c r="AY21" i="6" s="1"/>
  <c r="AO21" i="7"/>
  <c r="AY21" i="7" s="1"/>
  <c r="AM30" i="14"/>
  <c r="AW30" i="14" s="1"/>
  <c r="AM30" i="13"/>
  <c r="AW30" i="13" s="1"/>
  <c r="AM30" i="11"/>
  <c r="AW30" i="11" s="1"/>
  <c r="AM30" i="10"/>
  <c r="AW30" i="10" s="1"/>
  <c r="AM30" i="9"/>
  <c r="AW30" i="9" s="1"/>
  <c r="AM30" i="12"/>
  <c r="AW30" i="12" s="1"/>
  <c r="AM30" i="5"/>
  <c r="AW30" i="5" s="1"/>
  <c r="AM30" i="8"/>
  <c r="AW30" i="8" s="1"/>
  <c r="AM30" i="7"/>
  <c r="AW30" i="7" s="1"/>
  <c r="AM30" i="6"/>
  <c r="AW30" i="6" s="1"/>
  <c r="AK40" i="14"/>
  <c r="AU40" i="14" s="1"/>
  <c r="AK40" i="13"/>
  <c r="AU40" i="13" s="1"/>
  <c r="AK40" i="12"/>
  <c r="AU40" i="12" s="1"/>
  <c r="AK40" i="11"/>
  <c r="AU40" i="11" s="1"/>
  <c r="AK40" i="10"/>
  <c r="AU40" i="10" s="1"/>
  <c r="AK40" i="9"/>
  <c r="AU40" i="9" s="1"/>
  <c r="AK40" i="8"/>
  <c r="AU40" i="8" s="1"/>
  <c r="AK40" i="6"/>
  <c r="AU40" i="6" s="1"/>
  <c r="AK40" i="2"/>
  <c r="AK40" i="7"/>
  <c r="AU40" i="7" s="1"/>
  <c r="AK40" i="5"/>
  <c r="AU40" i="5" s="1"/>
  <c r="AI54" i="14"/>
  <c r="AS54" i="14" s="1"/>
  <c r="AI54" i="13"/>
  <c r="AS54" i="13" s="1"/>
  <c r="AI54" i="12"/>
  <c r="AS54" i="12" s="1"/>
  <c r="AI54" i="11"/>
  <c r="AS54" i="11" s="1"/>
  <c r="AI54" i="9"/>
  <c r="AS54" i="9" s="1"/>
  <c r="AI54" i="10"/>
  <c r="AS54" i="10" s="1"/>
  <c r="AI54" i="7"/>
  <c r="AS54" i="7" s="1"/>
  <c r="AI54" i="8"/>
  <c r="AS54" i="8" s="1"/>
  <c r="AS54" i="6"/>
  <c r="AK68" i="14"/>
  <c r="AU68" i="14" s="1"/>
  <c r="AK68" i="13"/>
  <c r="AU68" i="13" s="1"/>
  <c r="AK68" i="12"/>
  <c r="AU68" i="12" s="1"/>
  <c r="AK68" i="11"/>
  <c r="AU68" i="11" s="1"/>
  <c r="AK68" i="10"/>
  <c r="AU68" i="10" s="1"/>
  <c r="AK68" i="9"/>
  <c r="AU68" i="9" s="1"/>
  <c r="AK68" i="7"/>
  <c r="AU68" i="7" s="1"/>
  <c r="AK68" i="8"/>
  <c r="AU68" i="8" s="1"/>
  <c r="AK68" i="6"/>
  <c r="AU68" i="6" s="1"/>
  <c r="AK68" i="5"/>
  <c r="AU68" i="5" s="1"/>
  <c r="AM80" i="14"/>
  <c r="AW80" i="14" s="1"/>
  <c r="AM80" i="13"/>
  <c r="AW80" i="13" s="1"/>
  <c r="AM80" i="12"/>
  <c r="AW80" i="12" s="1"/>
  <c r="AM80" i="11"/>
  <c r="AW80" i="11" s="1"/>
  <c r="AM80" i="10"/>
  <c r="AW80" i="10" s="1"/>
  <c r="AM80" i="9"/>
  <c r="AW80" i="9" s="1"/>
  <c r="AM80" i="8"/>
  <c r="AW80" i="8" s="1"/>
  <c r="AW80" i="7"/>
  <c r="AM80" i="6"/>
  <c r="AW80" i="6" s="1"/>
  <c r="AO6" i="2"/>
  <c r="AN68" i="2"/>
  <c r="AJ68" i="2"/>
  <c r="AI40" i="5"/>
  <c r="AS40" i="5" s="1"/>
  <c r="AQ40" i="5"/>
  <c r="BA40" i="5" s="1"/>
  <c r="AI54" i="5"/>
  <c r="AS54" i="5" s="1"/>
  <c r="AN68" i="5"/>
  <c r="AX68" i="5" s="1"/>
  <c r="AR6" i="6"/>
  <c r="AR14" i="6"/>
  <c r="AR30" i="6"/>
  <c r="AL80" i="6"/>
  <c r="AV80" i="6" s="1"/>
  <c r="AH14" i="7"/>
  <c r="AR14" i="7" s="1"/>
  <c r="AK30" i="7"/>
  <c r="AU30" i="7" s="1"/>
  <c r="AN80" i="8"/>
  <c r="AX80" i="8" s="1"/>
  <c r="AN6" i="14"/>
  <c r="AX6" i="14" s="1"/>
  <c r="AN6" i="11"/>
  <c r="AX6" i="11" s="1"/>
  <c r="AN6" i="13"/>
  <c r="AX6" i="13" s="1"/>
  <c r="AN6" i="9"/>
  <c r="AX6" i="9" s="1"/>
  <c r="AN6" i="12"/>
  <c r="AX6" i="12" s="1"/>
  <c r="AN6" i="10"/>
  <c r="AX6" i="10" s="1"/>
  <c r="AN6" i="8"/>
  <c r="AX6" i="8" s="1"/>
  <c r="AN6" i="5"/>
  <c r="AX6" i="5" s="1"/>
  <c r="AN6" i="7"/>
  <c r="AX6" i="7" s="1"/>
  <c r="AN6" i="6"/>
  <c r="AX6" i="6" s="1"/>
  <c r="AO14" i="14"/>
  <c r="AY14" i="14" s="1"/>
  <c r="AO14" i="13"/>
  <c r="AY14" i="13" s="1"/>
  <c r="AO14" i="12"/>
  <c r="AY14" i="12" s="1"/>
  <c r="AO14" i="11"/>
  <c r="AY14" i="11" s="1"/>
  <c r="AO14" i="10"/>
  <c r="AY14" i="10" s="1"/>
  <c r="AO14" i="9"/>
  <c r="AY14" i="9" s="1"/>
  <c r="AO14" i="8"/>
  <c r="AY14" i="8" s="1"/>
  <c r="AO14" i="7"/>
  <c r="AY14" i="7" s="1"/>
  <c r="AO14" i="6"/>
  <c r="AY14" i="6" s="1"/>
  <c r="AO14" i="2"/>
  <c r="AQ21" i="14"/>
  <c r="BA21" i="14" s="1"/>
  <c r="AQ21" i="13"/>
  <c r="BA21" i="13" s="1"/>
  <c r="AQ21" i="11"/>
  <c r="BA21" i="11" s="1"/>
  <c r="AQ21" i="12"/>
  <c r="BA21" i="12" s="1"/>
  <c r="AQ21" i="10"/>
  <c r="BA21" i="10" s="1"/>
  <c r="AQ21" i="9"/>
  <c r="BA21" i="9" s="1"/>
  <c r="AQ21" i="8"/>
  <c r="BA21" i="8" s="1"/>
  <c r="AQ21" i="5"/>
  <c r="BA21" i="5" s="1"/>
  <c r="AQ21" i="2"/>
  <c r="AQ21" i="6"/>
  <c r="BA21" i="6" s="1"/>
  <c r="AI40" i="14"/>
  <c r="AS40" i="14" s="1"/>
  <c r="AI40" i="13"/>
  <c r="AS40" i="13" s="1"/>
  <c r="AI40" i="12"/>
  <c r="AS40" i="12" s="1"/>
  <c r="AI40" i="11"/>
  <c r="AS40" i="11" s="1"/>
  <c r="AI40" i="10"/>
  <c r="AS40" i="10" s="1"/>
  <c r="AI40" i="9"/>
  <c r="AS40" i="9" s="1"/>
  <c r="AI40" i="8"/>
  <c r="AS40" i="8" s="1"/>
  <c r="AS40" i="6"/>
  <c r="AK54" i="14"/>
  <c r="AU54" i="14" s="1"/>
  <c r="AK54" i="13"/>
  <c r="AU54" i="13" s="1"/>
  <c r="AK54" i="12"/>
  <c r="AU54" i="12" s="1"/>
  <c r="AK54" i="10"/>
  <c r="AU54" i="10" s="1"/>
  <c r="AK54" i="11"/>
  <c r="AU54" i="11" s="1"/>
  <c r="AK54" i="9"/>
  <c r="AU54" i="9" s="1"/>
  <c r="AK54" i="8"/>
  <c r="AU54" i="8" s="1"/>
  <c r="AK54" i="2"/>
  <c r="AK54" i="5"/>
  <c r="AU54" i="5" s="1"/>
  <c r="AM68" i="14"/>
  <c r="AW68" i="14" s="1"/>
  <c r="AM68" i="13"/>
  <c r="AW68" i="13" s="1"/>
  <c r="AM68" i="12"/>
  <c r="AW68" i="12" s="1"/>
  <c r="AM68" i="11"/>
  <c r="AW68" i="11" s="1"/>
  <c r="AM68" i="10"/>
  <c r="AW68" i="10" s="1"/>
  <c r="AM68" i="9"/>
  <c r="AW68" i="9" s="1"/>
  <c r="AM68" i="8"/>
  <c r="AW68" i="8" s="1"/>
  <c r="AM68" i="7"/>
  <c r="AW68" i="7" s="1"/>
  <c r="AM68" i="5"/>
  <c r="AW68" i="5" s="1"/>
  <c r="AM68" i="6"/>
  <c r="AW68" i="6" s="1"/>
  <c r="AO80" i="14"/>
  <c r="AY80" i="14" s="1"/>
  <c r="AO80" i="13"/>
  <c r="AY80" i="13" s="1"/>
  <c r="AO80" i="12"/>
  <c r="AY80" i="12" s="1"/>
  <c r="AO80" i="11"/>
  <c r="AY80" i="11" s="1"/>
  <c r="AO80" i="10"/>
  <c r="AY80" i="10" s="1"/>
  <c r="AY80" i="7"/>
  <c r="AO80" i="9"/>
  <c r="AY80" i="9" s="1"/>
  <c r="AO80" i="8"/>
  <c r="AY80" i="8" s="1"/>
  <c r="AO80" i="6"/>
  <c r="AY80" i="6" s="1"/>
  <c r="AO80" i="5"/>
  <c r="AY80" i="5" s="1"/>
  <c r="AI6" i="2"/>
  <c r="AQ40" i="7"/>
  <c r="BA40" i="7" s="1"/>
  <c r="AO6" i="14"/>
  <c r="AY6" i="14" s="1"/>
  <c r="AO6" i="13"/>
  <c r="AY6" i="13" s="1"/>
  <c r="AO6" i="12"/>
  <c r="AY6" i="12" s="1"/>
  <c r="AO6" i="11"/>
  <c r="AY6" i="11" s="1"/>
  <c r="AO6" i="10"/>
  <c r="AY6" i="10" s="1"/>
  <c r="AO6" i="8"/>
  <c r="AY6" i="8" s="1"/>
  <c r="AO6" i="7"/>
  <c r="AY6" i="7" s="1"/>
  <c r="AO6" i="6"/>
  <c r="AY6" i="6" s="1"/>
  <c r="AO6" i="9"/>
  <c r="AY6" i="9" s="1"/>
  <c r="AP14" i="14"/>
  <c r="AZ14" i="14" s="1"/>
  <c r="AP14" i="13"/>
  <c r="AZ14" i="13" s="1"/>
  <c r="AP14" i="12"/>
  <c r="AZ14" i="12" s="1"/>
  <c r="AP14" i="11"/>
  <c r="AZ14" i="11" s="1"/>
  <c r="AP14" i="10"/>
  <c r="AZ14" i="10" s="1"/>
  <c r="AP14" i="9"/>
  <c r="AZ14" i="9" s="1"/>
  <c r="AP14" i="2"/>
  <c r="AN21" i="14"/>
  <c r="AX21" i="14" s="1"/>
  <c r="AN21" i="13"/>
  <c r="AX21" i="13" s="1"/>
  <c r="AN21" i="12"/>
  <c r="AX21" i="12" s="1"/>
  <c r="AN21" i="11"/>
  <c r="AX21" i="11" s="1"/>
  <c r="AN21" i="8"/>
  <c r="AX21" i="8" s="1"/>
  <c r="AN21" i="6"/>
  <c r="AX21" i="6" s="1"/>
  <c r="AN21" i="2"/>
  <c r="AN21" i="10"/>
  <c r="AX21" i="10" s="1"/>
  <c r="AN21" i="7"/>
  <c r="AX21" i="7" s="1"/>
  <c r="AP30" i="14"/>
  <c r="AZ30" i="14" s="1"/>
  <c r="AP30" i="12"/>
  <c r="AZ30" i="12" s="1"/>
  <c r="AP30" i="11"/>
  <c r="AZ30" i="11" s="1"/>
  <c r="AP30" i="10"/>
  <c r="AZ30" i="10" s="1"/>
  <c r="AP30" i="9"/>
  <c r="AZ30" i="9" s="1"/>
  <c r="AP30" i="13"/>
  <c r="AZ30" i="13" s="1"/>
  <c r="AP30" i="8"/>
  <c r="AZ30" i="8" s="1"/>
  <c r="AP30" i="5"/>
  <c r="AZ30" i="5" s="1"/>
  <c r="AP30" i="2"/>
  <c r="AP30" i="7"/>
  <c r="AZ30" i="7" s="1"/>
  <c r="AN40" i="13"/>
  <c r="AX40" i="13" s="1"/>
  <c r="AN40" i="14"/>
  <c r="AX40" i="14" s="1"/>
  <c r="AN40" i="12"/>
  <c r="AX40" i="12" s="1"/>
  <c r="AN40" i="11"/>
  <c r="AX40" i="11" s="1"/>
  <c r="AN40" i="8"/>
  <c r="AX40" i="8" s="1"/>
  <c r="AN40" i="10"/>
  <c r="AX40" i="10" s="1"/>
  <c r="AN40" i="9"/>
  <c r="AX40" i="9" s="1"/>
  <c r="AN40" i="6"/>
  <c r="AX40" i="6" s="1"/>
  <c r="AN40" i="7"/>
  <c r="AX40" i="7" s="1"/>
  <c r="AP54" i="14"/>
  <c r="AZ54" i="14" s="1"/>
  <c r="AP54" i="13"/>
  <c r="AZ54" i="13" s="1"/>
  <c r="AP54" i="12"/>
  <c r="AZ54" i="12" s="1"/>
  <c r="AP54" i="11"/>
  <c r="AZ54" i="11" s="1"/>
  <c r="AP54" i="9"/>
  <c r="AZ54" i="9" s="1"/>
  <c r="AP54" i="10"/>
  <c r="AZ54" i="10" s="1"/>
  <c r="AP54" i="8"/>
  <c r="AZ54" i="8" s="1"/>
  <c r="AP54" i="7"/>
  <c r="AZ54" i="7" s="1"/>
  <c r="AP54" i="5"/>
  <c r="AZ54" i="5" s="1"/>
  <c r="AP54" i="2"/>
  <c r="AP54" i="6"/>
  <c r="AZ54" i="6" s="1"/>
  <c r="AH80" i="14"/>
  <c r="AR80" i="14" s="1"/>
  <c r="AH80" i="13"/>
  <c r="AR80" i="13" s="1"/>
  <c r="AH80" i="12"/>
  <c r="AR80" i="12" s="1"/>
  <c r="AH80" i="11"/>
  <c r="AR80" i="11" s="1"/>
  <c r="AH80" i="9"/>
  <c r="AR80" i="9" s="1"/>
  <c r="AH80" i="10"/>
  <c r="AR80" i="10" s="1"/>
  <c r="AH80" i="8"/>
  <c r="AR80" i="8" s="1"/>
  <c r="AH80" i="5"/>
  <c r="AR80" i="5" s="1"/>
  <c r="AP80" i="14"/>
  <c r="AZ80" i="14" s="1"/>
  <c r="AP80" i="12"/>
  <c r="AZ80" i="12" s="1"/>
  <c r="AP80" i="11"/>
  <c r="AZ80" i="11" s="1"/>
  <c r="AP80" i="13"/>
  <c r="AZ80" i="13" s="1"/>
  <c r="AP80" i="9"/>
  <c r="AZ80" i="9" s="1"/>
  <c r="AP80" i="10"/>
  <c r="AZ80" i="10" s="1"/>
  <c r="AP80" i="8"/>
  <c r="AZ80" i="8" s="1"/>
  <c r="AP80" i="5"/>
  <c r="AZ80" i="5" s="1"/>
  <c r="AO80" i="2"/>
  <c r="AQ40" i="2"/>
  <c r="AP6" i="14"/>
  <c r="AZ6" i="14" s="1"/>
  <c r="AP6" i="13"/>
  <c r="AZ6" i="13" s="1"/>
  <c r="AP6" i="12"/>
  <c r="AZ6" i="12" s="1"/>
  <c r="AP6" i="11"/>
  <c r="AZ6" i="11" s="1"/>
  <c r="AP6" i="10"/>
  <c r="AZ6" i="10" s="1"/>
  <c r="AP6" i="9"/>
  <c r="AZ6" i="9" s="1"/>
  <c r="AP6" i="8"/>
  <c r="AZ6" i="8" s="1"/>
  <c r="AM14" i="14"/>
  <c r="AW14" i="14" s="1"/>
  <c r="AM14" i="13"/>
  <c r="AW14" i="13" s="1"/>
  <c r="AM14" i="12"/>
  <c r="AW14" i="12" s="1"/>
  <c r="AM14" i="11"/>
  <c r="AW14" i="11" s="1"/>
  <c r="AM14" i="10"/>
  <c r="AW14" i="10" s="1"/>
  <c r="AM14" i="9"/>
  <c r="AW14" i="9" s="1"/>
  <c r="AM14" i="8"/>
  <c r="AW14" i="8" s="1"/>
  <c r="AM14" i="5"/>
  <c r="AW14" i="5" s="1"/>
  <c r="AM14" i="7"/>
  <c r="AW14" i="7" s="1"/>
  <c r="AM14" i="6"/>
  <c r="AW14" i="6" s="1"/>
  <c r="AK21" i="14"/>
  <c r="AU21" i="14" s="1"/>
  <c r="AK21" i="12"/>
  <c r="AU21" i="12" s="1"/>
  <c r="AK21" i="13"/>
  <c r="AU21" i="13" s="1"/>
  <c r="AK21" i="10"/>
  <c r="AU21" i="10" s="1"/>
  <c r="AK21" i="9"/>
  <c r="AU21" i="9" s="1"/>
  <c r="AK21" i="8"/>
  <c r="AU21" i="8" s="1"/>
  <c r="AK21" i="11"/>
  <c r="AU21" i="11" s="1"/>
  <c r="AK21" i="6"/>
  <c r="AU21" i="6" s="1"/>
  <c r="AK21" i="7"/>
  <c r="AU21" i="7" s="1"/>
  <c r="AI30" i="13"/>
  <c r="AS30" i="13" s="1"/>
  <c r="AI30" i="14"/>
  <c r="AS30" i="14" s="1"/>
  <c r="AI30" i="11"/>
  <c r="AS30" i="11" s="1"/>
  <c r="AI30" i="10"/>
  <c r="AS30" i="10" s="1"/>
  <c r="AI30" i="9"/>
  <c r="AS30" i="9" s="1"/>
  <c r="AI30" i="12"/>
  <c r="AS30" i="12" s="1"/>
  <c r="AI30" i="5"/>
  <c r="AS30" i="5" s="1"/>
  <c r="AI30" i="7"/>
  <c r="AS30" i="7" s="1"/>
  <c r="AI30" i="8"/>
  <c r="AS30" i="8" s="1"/>
  <c r="AS30" i="6"/>
  <c r="AQ30" i="13"/>
  <c r="BA30" i="13" s="1"/>
  <c r="AQ30" i="14"/>
  <c r="BA30" i="14" s="1"/>
  <c r="AQ30" i="11"/>
  <c r="BA30" i="11" s="1"/>
  <c r="AQ30" i="10"/>
  <c r="BA30" i="10" s="1"/>
  <c r="AQ30" i="9"/>
  <c r="BA30" i="9" s="1"/>
  <c r="AQ30" i="12"/>
  <c r="BA30" i="12" s="1"/>
  <c r="AQ30" i="8"/>
  <c r="BA30" i="8" s="1"/>
  <c r="AQ30" i="5"/>
  <c r="BA30" i="5" s="1"/>
  <c r="AQ30" i="7"/>
  <c r="BA30" i="7" s="1"/>
  <c r="AQ30" i="6"/>
  <c r="BA30" i="6" s="1"/>
  <c r="AO40" i="14"/>
  <c r="AY40" i="14" s="1"/>
  <c r="AO40" i="13"/>
  <c r="AY40" i="13" s="1"/>
  <c r="AO40" i="12"/>
  <c r="AY40" i="12" s="1"/>
  <c r="AO40" i="10"/>
  <c r="AY40" i="10" s="1"/>
  <c r="AO40" i="11"/>
  <c r="AY40" i="11" s="1"/>
  <c r="AO40" i="9"/>
  <c r="AY40" i="9" s="1"/>
  <c r="AO40" i="6"/>
  <c r="AY40" i="6" s="1"/>
  <c r="AO40" i="2"/>
  <c r="AO40" i="7"/>
  <c r="AY40" i="7" s="1"/>
  <c r="AO40" i="5"/>
  <c r="AY40" i="5" s="1"/>
  <c r="AM54" i="14"/>
  <c r="AW54" i="14" s="1"/>
  <c r="AM54" i="13"/>
  <c r="AW54" i="13" s="1"/>
  <c r="AM54" i="11"/>
  <c r="AW54" i="11" s="1"/>
  <c r="AM54" i="9"/>
  <c r="AW54" i="9" s="1"/>
  <c r="AM54" i="12"/>
  <c r="AW54" i="12" s="1"/>
  <c r="AM54" i="7"/>
  <c r="AW54" i="7" s="1"/>
  <c r="AM54" i="10"/>
  <c r="AW54" i="10" s="1"/>
  <c r="AM54" i="6"/>
  <c r="AW54" i="6" s="1"/>
  <c r="AQ54" i="13"/>
  <c r="BA54" i="13" s="1"/>
  <c r="AQ54" i="14"/>
  <c r="BA54" i="14" s="1"/>
  <c r="AQ54" i="11"/>
  <c r="BA54" i="11" s="1"/>
  <c r="AQ54" i="12"/>
  <c r="BA54" i="12" s="1"/>
  <c r="AQ54" i="9"/>
  <c r="BA54" i="9" s="1"/>
  <c r="AQ54" i="10"/>
  <c r="BA54" i="10" s="1"/>
  <c r="AQ54" i="7"/>
  <c r="BA54" i="7" s="1"/>
  <c r="AQ54" i="6"/>
  <c r="BA54" i="6" s="1"/>
  <c r="AQ54" i="8"/>
  <c r="BA54" i="8" s="1"/>
  <c r="AO68" i="14"/>
  <c r="AY68" i="14" s="1"/>
  <c r="AO68" i="13"/>
  <c r="AY68" i="13" s="1"/>
  <c r="AO68" i="12"/>
  <c r="AY68" i="12" s="1"/>
  <c r="AO68" i="11"/>
  <c r="AY68" i="11" s="1"/>
  <c r="AO68" i="10"/>
  <c r="AY68" i="10" s="1"/>
  <c r="AO68" i="7"/>
  <c r="AY68" i="7" s="1"/>
  <c r="AO68" i="9"/>
  <c r="AY68" i="9" s="1"/>
  <c r="AO68" i="8"/>
  <c r="AY68" i="8" s="1"/>
  <c r="AO68" i="6"/>
  <c r="AY68" i="6" s="1"/>
  <c r="AO68" i="5"/>
  <c r="AY68" i="5" s="1"/>
  <c r="AI80" i="14"/>
  <c r="AS80" i="14" s="1"/>
  <c r="AI80" i="13"/>
  <c r="AS80" i="13" s="1"/>
  <c r="AI80" i="12"/>
  <c r="AS80" i="12" s="1"/>
  <c r="AI80" i="11"/>
  <c r="AS80" i="11" s="1"/>
  <c r="AI80" i="10"/>
  <c r="AS80" i="10" s="1"/>
  <c r="AI80" i="9"/>
  <c r="AS80" i="9" s="1"/>
  <c r="AI80" i="8"/>
  <c r="AS80" i="8" s="1"/>
  <c r="AS80" i="6"/>
  <c r="AQ80" i="14"/>
  <c r="BA80" i="14" s="1"/>
  <c r="AQ80" i="13"/>
  <c r="BA80" i="13" s="1"/>
  <c r="AQ80" i="12"/>
  <c r="BA80" i="12" s="1"/>
  <c r="AQ80" i="11"/>
  <c r="BA80" i="11" s="1"/>
  <c r="AQ80" i="10"/>
  <c r="BA80" i="10" s="1"/>
  <c r="AQ80" i="9"/>
  <c r="BA80" i="9" s="1"/>
  <c r="AQ80" i="8"/>
  <c r="BA80" i="8" s="1"/>
  <c r="BA80" i="7"/>
  <c r="AQ80" i="6"/>
  <c r="BA80" i="6" s="1"/>
  <c r="AK6" i="2"/>
  <c r="AH6" i="14"/>
  <c r="AR6" i="14" s="1"/>
  <c r="AH6" i="13"/>
  <c r="AR6" i="13" s="1"/>
  <c r="AH6" i="12"/>
  <c r="AR6" i="12" s="1"/>
  <c r="AH6" i="11"/>
  <c r="AR6" i="11" s="1"/>
  <c r="AH6" i="10"/>
  <c r="AR6" i="10" s="1"/>
  <c r="AH6" i="9"/>
  <c r="AR6" i="9" s="1"/>
  <c r="AL6" i="14"/>
  <c r="AV6" i="14" s="1"/>
  <c r="AL6" i="13"/>
  <c r="AV6" i="13" s="1"/>
  <c r="AL6" i="12"/>
  <c r="AV6" i="12" s="1"/>
  <c r="AL6" i="10"/>
  <c r="AV6" i="10" s="1"/>
  <c r="AL6" i="9"/>
  <c r="AV6" i="9" s="1"/>
  <c r="AL6" i="11"/>
  <c r="AV6" i="11" s="1"/>
  <c r="AL6" i="8"/>
  <c r="AV6" i="8" s="1"/>
  <c r="AM6" i="14"/>
  <c r="AW6" i="14" s="1"/>
  <c r="AM6" i="13"/>
  <c r="AW6" i="13" s="1"/>
  <c r="AM6" i="12"/>
  <c r="AW6" i="12" s="1"/>
  <c r="AM6" i="11"/>
  <c r="AW6" i="11" s="1"/>
  <c r="AM6" i="10"/>
  <c r="AW6" i="10" s="1"/>
  <c r="AM6" i="9"/>
  <c r="AW6" i="9" s="1"/>
  <c r="AM6" i="8"/>
  <c r="AW6" i="8" s="1"/>
  <c r="AM6" i="5"/>
  <c r="AW6" i="5" s="1"/>
  <c r="AM6" i="7"/>
  <c r="AW6" i="7" s="1"/>
  <c r="AM6" i="6"/>
  <c r="AW6" i="6" s="1"/>
  <c r="AJ14" i="14"/>
  <c r="AT14" i="14" s="1"/>
  <c r="AJ14" i="11"/>
  <c r="AT14" i="11" s="1"/>
  <c r="AJ14" i="9"/>
  <c r="AT14" i="9" s="1"/>
  <c r="AJ14" i="13"/>
  <c r="AT14" i="13" s="1"/>
  <c r="AJ14" i="8"/>
  <c r="AT14" i="8" s="1"/>
  <c r="AJ14" i="12"/>
  <c r="AT14" i="12" s="1"/>
  <c r="AJ14" i="5"/>
  <c r="AT14" i="5" s="1"/>
  <c r="AJ14" i="10"/>
  <c r="AT14" i="10" s="1"/>
  <c r="AJ14" i="7"/>
  <c r="AT14" i="7" s="1"/>
  <c r="AJ14" i="6"/>
  <c r="AT14" i="6" s="1"/>
  <c r="AN14" i="14"/>
  <c r="AX14" i="14" s="1"/>
  <c r="AN14" i="11"/>
  <c r="AX14" i="11" s="1"/>
  <c r="AN14" i="13"/>
  <c r="AX14" i="13" s="1"/>
  <c r="AN14" i="9"/>
  <c r="AX14" i="9" s="1"/>
  <c r="AN14" i="12"/>
  <c r="AX14" i="12" s="1"/>
  <c r="AN14" i="10"/>
  <c r="AX14" i="10" s="1"/>
  <c r="AN14" i="8"/>
  <c r="AX14" i="8" s="1"/>
  <c r="AN14" i="5"/>
  <c r="AX14" i="5" s="1"/>
  <c r="AN14" i="7"/>
  <c r="AX14" i="7" s="1"/>
  <c r="AN14" i="6"/>
  <c r="AX14" i="6" s="1"/>
  <c r="AH21" i="14"/>
  <c r="AR21" i="14" s="1"/>
  <c r="AH21" i="13"/>
  <c r="AR21" i="13" s="1"/>
  <c r="AH21" i="11"/>
  <c r="AR21" i="11" s="1"/>
  <c r="AH21" i="10"/>
  <c r="AR21" i="10" s="1"/>
  <c r="AH21" i="9"/>
  <c r="AR21" i="9" s="1"/>
  <c r="AH21" i="12"/>
  <c r="AR21" i="12" s="1"/>
  <c r="AH21" i="8"/>
  <c r="AR21" i="8" s="1"/>
  <c r="AH21" i="7"/>
  <c r="AR21" i="7" s="1"/>
  <c r="AH21" i="5"/>
  <c r="AR21" i="5" s="1"/>
  <c r="AL21" i="14"/>
  <c r="AV21" i="14" s="1"/>
  <c r="AL21" i="13"/>
  <c r="AV21" i="13" s="1"/>
  <c r="AL21" i="11"/>
  <c r="AV21" i="11" s="1"/>
  <c r="AL21" i="10"/>
  <c r="AV21" i="10" s="1"/>
  <c r="AL21" i="9"/>
  <c r="AV21" i="9" s="1"/>
  <c r="AL21" i="12"/>
  <c r="AV21" i="12" s="1"/>
  <c r="AL21" i="7"/>
  <c r="AV21" i="7" s="1"/>
  <c r="AL21" i="5"/>
  <c r="AV21" i="5" s="1"/>
  <c r="AP21" i="14"/>
  <c r="AZ21" i="14" s="1"/>
  <c r="AP21" i="13"/>
  <c r="AZ21" i="13" s="1"/>
  <c r="AP21" i="11"/>
  <c r="AZ21" i="11" s="1"/>
  <c r="AP21" i="12"/>
  <c r="AZ21" i="12" s="1"/>
  <c r="AP21" i="10"/>
  <c r="AZ21" i="10" s="1"/>
  <c r="AP21" i="9"/>
  <c r="AZ21" i="9" s="1"/>
  <c r="AP21" i="7"/>
  <c r="AZ21" i="7" s="1"/>
  <c r="AP21" i="5"/>
  <c r="AZ21" i="5" s="1"/>
  <c r="AP21" i="8"/>
  <c r="AZ21" i="8" s="1"/>
  <c r="AJ30" i="14"/>
  <c r="AT30" i="14" s="1"/>
  <c r="AJ30" i="13"/>
  <c r="AT30" i="13" s="1"/>
  <c r="AJ30" i="12"/>
  <c r="AT30" i="12" s="1"/>
  <c r="AJ30" i="11"/>
  <c r="AT30" i="11" s="1"/>
  <c r="AJ30" i="9"/>
  <c r="AT30" i="9" s="1"/>
  <c r="AJ30" i="8"/>
  <c r="AT30" i="8" s="1"/>
  <c r="AJ30" i="7"/>
  <c r="AT30" i="7" s="1"/>
  <c r="AJ30" i="6"/>
  <c r="AT30" i="6" s="1"/>
  <c r="AJ30" i="10"/>
  <c r="AT30" i="10" s="1"/>
  <c r="AN30" i="14"/>
  <c r="AX30" i="14" s="1"/>
  <c r="AN30" i="13"/>
  <c r="AX30" i="13" s="1"/>
  <c r="AN30" i="12"/>
  <c r="AX30" i="12" s="1"/>
  <c r="AN30" i="11"/>
  <c r="AX30" i="11" s="1"/>
  <c r="AN30" i="10"/>
  <c r="AX30" i="10" s="1"/>
  <c r="AN30" i="8"/>
  <c r="AX30" i="8" s="1"/>
  <c r="AN30" i="7"/>
  <c r="AX30" i="7" s="1"/>
  <c r="AN30" i="9"/>
  <c r="AX30" i="9" s="1"/>
  <c r="AN30" i="6"/>
  <c r="AX30" i="6" s="1"/>
  <c r="AH40" i="14"/>
  <c r="AR40" i="14" s="1"/>
  <c r="AH40" i="13"/>
  <c r="AR40" i="13" s="1"/>
  <c r="AH40" i="12"/>
  <c r="AR40" i="12" s="1"/>
  <c r="AH40" i="11"/>
  <c r="AR40" i="11" s="1"/>
  <c r="AH40" i="10"/>
  <c r="AR40" i="10" s="1"/>
  <c r="AH40" i="9"/>
  <c r="AR40" i="9" s="1"/>
  <c r="AH40" i="8"/>
  <c r="AR40" i="8" s="1"/>
  <c r="AH40" i="7"/>
  <c r="AR40" i="7" s="1"/>
  <c r="AH40" i="5"/>
  <c r="AR40" i="5" s="1"/>
  <c r="AH40" i="2"/>
  <c r="AL40" i="14"/>
  <c r="AV40" i="14" s="1"/>
  <c r="AL40" i="12"/>
  <c r="AV40" i="12" s="1"/>
  <c r="AL40" i="13"/>
  <c r="AV40" i="13" s="1"/>
  <c r="AL40" i="11"/>
  <c r="AV40" i="11" s="1"/>
  <c r="AL40" i="10"/>
  <c r="AV40" i="10" s="1"/>
  <c r="AL40" i="9"/>
  <c r="AV40" i="9" s="1"/>
  <c r="AL40" i="8"/>
  <c r="AV40" i="8" s="1"/>
  <c r="AL40" i="7"/>
  <c r="AV40" i="7" s="1"/>
  <c r="AL40" i="5"/>
  <c r="AV40" i="5" s="1"/>
  <c r="AL40" i="2"/>
  <c r="AP40" i="14"/>
  <c r="AZ40" i="14" s="1"/>
  <c r="AP40" i="13"/>
  <c r="AZ40" i="13" s="1"/>
  <c r="AP40" i="12"/>
  <c r="AZ40" i="12" s="1"/>
  <c r="AP40" i="11"/>
  <c r="AZ40" i="11" s="1"/>
  <c r="AP40" i="10"/>
  <c r="AZ40" i="10" s="1"/>
  <c r="AP40" i="9"/>
  <c r="AZ40" i="9" s="1"/>
  <c r="AP40" i="8"/>
  <c r="AZ40" i="8" s="1"/>
  <c r="AP40" i="7"/>
  <c r="AZ40" i="7" s="1"/>
  <c r="AP40" i="5"/>
  <c r="AZ40" i="5" s="1"/>
  <c r="AP40" i="2"/>
  <c r="AJ54" i="14"/>
  <c r="AT54" i="14" s="1"/>
  <c r="AJ54" i="13"/>
  <c r="AT54" i="13" s="1"/>
  <c r="AJ54" i="12"/>
  <c r="AT54" i="12" s="1"/>
  <c r="AJ54" i="10"/>
  <c r="AT54" i="10" s="1"/>
  <c r="AJ54" i="11"/>
  <c r="AT54" i="11" s="1"/>
  <c r="AJ54" i="7"/>
  <c r="AT54" i="7" s="1"/>
  <c r="AJ54" i="9"/>
  <c r="AT54" i="9" s="1"/>
  <c r="AJ54" i="8"/>
  <c r="AT54" i="8" s="1"/>
  <c r="AJ54" i="6"/>
  <c r="AT54" i="6" s="1"/>
  <c r="AN54" i="14"/>
  <c r="AX54" i="14" s="1"/>
  <c r="AN54" i="13"/>
  <c r="AX54" i="13" s="1"/>
  <c r="AN54" i="12"/>
  <c r="AX54" i="12" s="1"/>
  <c r="AN54" i="10"/>
  <c r="AX54" i="10" s="1"/>
  <c r="AN54" i="11"/>
  <c r="AX54" i="11" s="1"/>
  <c r="AN54" i="7"/>
  <c r="AX54" i="7" s="1"/>
  <c r="AN54" i="8"/>
  <c r="AX54" i="8" s="1"/>
  <c r="AN54" i="6"/>
  <c r="AX54" i="6" s="1"/>
  <c r="AN54" i="9"/>
  <c r="AX54" i="9" s="1"/>
  <c r="AH68" i="14"/>
  <c r="AR68" i="14" s="1"/>
  <c r="AH68" i="13"/>
  <c r="AR68" i="13" s="1"/>
  <c r="AH68" i="12"/>
  <c r="AR68" i="12" s="1"/>
  <c r="AH68" i="11"/>
  <c r="AR68" i="11" s="1"/>
  <c r="AH68" i="9"/>
  <c r="AR68" i="9" s="1"/>
  <c r="AH68" i="8"/>
  <c r="AR68" i="8" s="1"/>
  <c r="AH68" i="10"/>
  <c r="AR68" i="10" s="1"/>
  <c r="AH68" i="7"/>
  <c r="AR68" i="7" s="1"/>
  <c r="AH68" i="5"/>
  <c r="AR68" i="5" s="1"/>
  <c r="AL68" i="14"/>
  <c r="AV68" i="14" s="1"/>
  <c r="AL68" i="13"/>
  <c r="AV68" i="13" s="1"/>
  <c r="AL68" i="12"/>
  <c r="AV68" i="12" s="1"/>
  <c r="AL68" i="11"/>
  <c r="AV68" i="11" s="1"/>
  <c r="AL68" i="10"/>
  <c r="AV68" i="10" s="1"/>
  <c r="AL68" i="9"/>
  <c r="AV68" i="9" s="1"/>
  <c r="AL68" i="8"/>
  <c r="AV68" i="8" s="1"/>
  <c r="AL68" i="7"/>
  <c r="AV68" i="7" s="1"/>
  <c r="AL68" i="5"/>
  <c r="AV68" i="5" s="1"/>
  <c r="AP68" i="14"/>
  <c r="AZ68" i="14" s="1"/>
  <c r="AP68" i="13"/>
  <c r="AZ68" i="13" s="1"/>
  <c r="AP68" i="12"/>
  <c r="AZ68" i="12" s="1"/>
  <c r="AP68" i="11"/>
  <c r="AZ68" i="11" s="1"/>
  <c r="AP68" i="9"/>
  <c r="AZ68" i="9" s="1"/>
  <c r="AP68" i="10"/>
  <c r="AZ68" i="10" s="1"/>
  <c r="AP68" i="8"/>
  <c r="AZ68" i="8" s="1"/>
  <c r="AP68" i="5"/>
  <c r="AZ68" i="5" s="1"/>
  <c r="AJ80" i="14"/>
  <c r="AT80" i="14" s="1"/>
  <c r="AJ80" i="13"/>
  <c r="AT80" i="13" s="1"/>
  <c r="AJ80" i="10"/>
  <c r="AT80" i="10" s="1"/>
  <c r="AJ80" i="12"/>
  <c r="AT80" i="12" s="1"/>
  <c r="AJ80" i="11"/>
  <c r="AT80" i="11" s="1"/>
  <c r="AJ80" i="9"/>
  <c r="AT80" i="9" s="1"/>
  <c r="AJ80" i="8"/>
  <c r="AT80" i="8" s="1"/>
  <c r="AJ80" i="6"/>
  <c r="AT80" i="6" s="1"/>
  <c r="AJ80" i="5"/>
  <c r="AT80" i="5" s="1"/>
  <c r="AN80" i="14"/>
  <c r="AX80" i="14" s="1"/>
  <c r="AN80" i="13"/>
  <c r="AX80" i="13" s="1"/>
  <c r="AN80" i="12"/>
  <c r="AX80" i="12" s="1"/>
  <c r="AN80" i="10"/>
  <c r="AX80" i="10" s="1"/>
  <c r="AX80" i="7"/>
  <c r="AN80" i="6"/>
  <c r="AX80" i="6" s="1"/>
  <c r="AN80" i="5"/>
  <c r="AX80" i="5" s="1"/>
  <c r="AH6" i="2"/>
  <c r="AN6" i="2"/>
  <c r="AJ6" i="2"/>
  <c r="AQ80" i="2"/>
  <c r="AM80" i="2"/>
  <c r="AI80" i="2"/>
  <c r="AQ68" i="2"/>
  <c r="AM68" i="2"/>
  <c r="AI68" i="2"/>
  <c r="AQ54" i="2"/>
  <c r="AI54" i="2"/>
  <c r="AM40" i="2"/>
  <c r="AQ30" i="2"/>
  <c r="AI30" i="2"/>
  <c r="AK21" i="2"/>
  <c r="AQ14" i="2"/>
  <c r="AI14" i="2"/>
  <c r="AH6" i="5"/>
  <c r="AR6" i="5" s="1"/>
  <c r="AP6" i="5"/>
  <c r="AZ6" i="5" s="1"/>
  <c r="AH14" i="5"/>
  <c r="AR14" i="5" s="1"/>
  <c r="AP14" i="5"/>
  <c r="AZ14" i="5" s="1"/>
  <c r="AO21" i="5"/>
  <c r="AY21" i="5" s="1"/>
  <c r="AO30" i="5"/>
  <c r="AY30" i="5" s="1"/>
  <c r="AJ40" i="5"/>
  <c r="AT40" i="5" s="1"/>
  <c r="AJ54" i="5"/>
  <c r="AT54" i="5" s="1"/>
  <c r="AM80" i="5"/>
  <c r="AW80" i="5" s="1"/>
  <c r="AL6" i="6"/>
  <c r="AV6" i="6" s="1"/>
  <c r="AL14" i="6"/>
  <c r="AV14" i="6" s="1"/>
  <c r="AL21" i="6"/>
  <c r="AV21" i="6" s="1"/>
  <c r="AL30" i="6"/>
  <c r="AV30" i="6" s="1"/>
  <c r="AK54" i="6"/>
  <c r="AU54" i="6" s="1"/>
  <c r="AR68" i="6"/>
  <c r="AP80" i="6"/>
  <c r="AZ80" i="6" s="1"/>
  <c r="AL6" i="7"/>
  <c r="AV6" i="7" s="1"/>
  <c r="AL14" i="7"/>
  <c r="AV14" i="7" s="1"/>
  <c r="AO30" i="7"/>
  <c r="AY30" i="7" s="1"/>
  <c r="AM40" i="7"/>
  <c r="AW40" i="7" s="1"/>
  <c r="AK54" i="7"/>
  <c r="AU54" i="7" s="1"/>
  <c r="AZ80" i="7"/>
  <c r="AH6" i="8"/>
  <c r="AR6" i="8" s="1"/>
  <c r="AM54" i="8"/>
  <c r="AW54" i="8" s="1"/>
  <c r="AJ6" i="9"/>
  <c r="AT6" i="9" s="1"/>
  <c r="Z13" i="4"/>
  <c r="AA13" i="4"/>
  <c r="Z12" i="4"/>
  <c r="AA12" i="4"/>
  <c r="Z11" i="4"/>
  <c r="AA11" i="4"/>
  <c r="Z10" i="4"/>
  <c r="AA10" i="4"/>
  <c r="Z9" i="4"/>
  <c r="AA9" i="4"/>
  <c r="Z8" i="4"/>
  <c r="AA8" i="4"/>
  <c r="Z7" i="4"/>
  <c r="AA7" i="4"/>
  <c r="Z6" i="4"/>
  <c r="AA6" i="4"/>
  <c r="Z70" i="4"/>
  <c r="AA70" i="4"/>
  <c r="Z74" i="4"/>
  <c r="AA74" i="4"/>
  <c r="Z78" i="4"/>
  <c r="AA78" i="4"/>
  <c r="AA71" i="4"/>
  <c r="Z71" i="4"/>
  <c r="AA75" i="4"/>
  <c r="Z75" i="4"/>
  <c r="AA79" i="4"/>
  <c r="Z79" i="4"/>
  <c r="Z68" i="4"/>
  <c r="AA68" i="4"/>
  <c r="Z72" i="4"/>
  <c r="AA72" i="4"/>
  <c r="Z76" i="4"/>
  <c r="AA76" i="4"/>
  <c r="AA69" i="4"/>
  <c r="Z69" i="4"/>
  <c r="AA73" i="4"/>
  <c r="Z73" i="4"/>
  <c r="AA77" i="4"/>
  <c r="Z77" i="4"/>
  <c r="AA42" i="4"/>
  <c r="Z42" i="4"/>
  <c r="AA46" i="4"/>
  <c r="Z46" i="4"/>
  <c r="AA50" i="4"/>
  <c r="Z50" i="4"/>
  <c r="Z43" i="4"/>
  <c r="AA43" i="4"/>
  <c r="Z47" i="4"/>
  <c r="AA47" i="4"/>
  <c r="Z51" i="4"/>
  <c r="AA51" i="4"/>
  <c r="AA40" i="4"/>
  <c r="Z40" i="4"/>
  <c r="AA44" i="4"/>
  <c r="Z44" i="4"/>
  <c r="AA48" i="4"/>
  <c r="Z48" i="4"/>
  <c r="AA52" i="4"/>
  <c r="Z52" i="4"/>
  <c r="Z41" i="4"/>
  <c r="AA41" i="4"/>
  <c r="Z45" i="4"/>
  <c r="AA45" i="4"/>
  <c r="Z49" i="4"/>
  <c r="AA49" i="4"/>
  <c r="Z53" i="4"/>
  <c r="AA53" i="4"/>
  <c r="Z14" i="4"/>
  <c r="AA14" i="4"/>
  <c r="Z18" i="4"/>
  <c r="AA18" i="4"/>
  <c r="Z15" i="4"/>
  <c r="AA15" i="4"/>
  <c r="Z19" i="4"/>
  <c r="AA19" i="4"/>
  <c r="Z16" i="4"/>
  <c r="AA16" i="4"/>
  <c r="Z20" i="4"/>
  <c r="AA20" i="4"/>
  <c r="Z17" i="4"/>
  <c r="AA17" i="4"/>
  <c r="Z32" i="4"/>
  <c r="AA32" i="4"/>
  <c r="Z30" i="4"/>
  <c r="AA30" i="4"/>
  <c r="Z26" i="4"/>
  <c r="AA26" i="4"/>
  <c r="Z23" i="4"/>
  <c r="AA23" i="4"/>
  <c r="Z27" i="4"/>
  <c r="AA27" i="4"/>
  <c r="Z24" i="4"/>
  <c r="AA24" i="4"/>
  <c r="Z28" i="4"/>
  <c r="AA28" i="4"/>
  <c r="Z22" i="4"/>
  <c r="AA22" i="4"/>
  <c r="Z21" i="4"/>
  <c r="AA21" i="4"/>
  <c r="Z25" i="4"/>
  <c r="AA25" i="4"/>
  <c r="AA29" i="4"/>
  <c r="Z29" i="4"/>
  <c r="Z62" i="4"/>
  <c r="AA62" i="4"/>
  <c r="Z55" i="4"/>
  <c r="AA55" i="4"/>
  <c r="Z59" i="4"/>
  <c r="AA59" i="4"/>
  <c r="Z63" i="4"/>
  <c r="AA63" i="4"/>
  <c r="Z67" i="4"/>
  <c r="AA67" i="4"/>
  <c r="Z54" i="4"/>
  <c r="AA54" i="4"/>
  <c r="Z66" i="4"/>
  <c r="AA66" i="4"/>
  <c r="Z56" i="4"/>
  <c r="AA56" i="4"/>
  <c r="Z60" i="4"/>
  <c r="AA60" i="4"/>
  <c r="Z64" i="4"/>
  <c r="AA64" i="4"/>
  <c r="Z58" i="4"/>
  <c r="AA58" i="4"/>
  <c r="Z57" i="4"/>
  <c r="AA57" i="4"/>
  <c r="Z61" i="4"/>
  <c r="AA61" i="4"/>
  <c r="Z65" i="4"/>
  <c r="AA65" i="4"/>
  <c r="Z82" i="4"/>
  <c r="AA82" i="4"/>
  <c r="Z83" i="4"/>
  <c r="AA83" i="4"/>
  <c r="Z80" i="4"/>
  <c r="AA80" i="4"/>
  <c r="Z84" i="4"/>
  <c r="AA84" i="4"/>
  <c r="Z81" i="4"/>
  <c r="AA81" i="4"/>
  <c r="Z85" i="4"/>
  <c r="AA85" i="4"/>
  <c r="G39" i="2"/>
  <c r="G36" i="2"/>
  <c r="G35" i="2"/>
  <c r="G34" i="2"/>
  <c r="Q32" i="2"/>
  <c r="K32" i="2"/>
  <c r="G31" i="2"/>
  <c r="AF30" i="2"/>
  <c r="N30" i="2"/>
  <c r="W45" i="17" l="1"/>
  <c r="W53" i="17"/>
  <c r="AC28" i="2"/>
  <c r="Z28" i="2"/>
  <c r="W28" i="2"/>
  <c r="T28" i="2"/>
  <c r="Q28" i="2"/>
  <c r="N28" i="2"/>
  <c r="K28" i="2"/>
  <c r="H28" i="2"/>
  <c r="AC23" i="2"/>
  <c r="AF22" i="2"/>
  <c r="AC22" i="2"/>
  <c r="Z22" i="2"/>
  <c r="W22" i="2"/>
  <c r="T22" i="2"/>
  <c r="Q22" i="2"/>
  <c r="K22" i="2"/>
  <c r="H22" i="2"/>
  <c r="E22" i="2"/>
  <c r="BA80" i="2" l="1"/>
  <c r="AZ80" i="2"/>
  <c r="AY80" i="2"/>
  <c r="AX80" i="2"/>
  <c r="AW80" i="2"/>
  <c r="AV80" i="2"/>
  <c r="AU80" i="2"/>
  <c r="AT80" i="2"/>
  <c r="AS80" i="2"/>
  <c r="AR80" i="2"/>
  <c r="BA68" i="2"/>
  <c r="AZ68" i="2"/>
  <c r="AY68" i="2"/>
  <c r="AX68" i="2"/>
  <c r="AW68" i="2"/>
  <c r="AV68" i="2"/>
  <c r="AU68" i="2"/>
  <c r="AT68" i="2"/>
  <c r="AS68" i="2"/>
  <c r="AR68" i="2"/>
  <c r="BA54" i="2"/>
  <c r="AZ54" i="2"/>
  <c r="AY54" i="2"/>
  <c r="AX54" i="2"/>
  <c r="AW54" i="2"/>
  <c r="AV54" i="2"/>
  <c r="AU54" i="2"/>
  <c r="AT54" i="2"/>
  <c r="AS54" i="2"/>
  <c r="AR54" i="2"/>
  <c r="BA40" i="2"/>
  <c r="AZ40" i="2"/>
  <c r="AY40" i="2"/>
  <c r="AX40" i="2"/>
  <c r="AW40" i="2"/>
  <c r="AV40" i="2"/>
  <c r="AU40" i="2"/>
  <c r="AT40" i="2"/>
  <c r="AS40" i="2"/>
  <c r="AR40" i="2"/>
  <c r="BA30" i="2"/>
  <c r="AZ30" i="2"/>
  <c r="AY30" i="2"/>
  <c r="AX30" i="2"/>
  <c r="AW30" i="2"/>
  <c r="AV30" i="2"/>
  <c r="AU30" i="2"/>
  <c r="AT30" i="2"/>
  <c r="AS30" i="2"/>
  <c r="AR30" i="2"/>
  <c r="BA21" i="2"/>
  <c r="AZ21" i="2"/>
  <c r="AY21" i="2"/>
  <c r="AX21" i="2"/>
  <c r="AW21" i="2"/>
  <c r="AV21" i="2"/>
  <c r="AU21" i="2"/>
  <c r="AT21" i="2"/>
  <c r="AS21" i="2"/>
  <c r="AR21" i="2"/>
  <c r="BA14" i="2"/>
  <c r="AZ14" i="2"/>
  <c r="AY14" i="2"/>
  <c r="AX14" i="2"/>
  <c r="AW14" i="2"/>
  <c r="AV14" i="2"/>
  <c r="AU14" i="2"/>
  <c r="AT14" i="2"/>
  <c r="AS14" i="2"/>
  <c r="AR14" i="2"/>
  <c r="BA6" i="2"/>
  <c r="AZ6" i="2"/>
  <c r="AY6" i="2"/>
  <c r="AX6" i="2"/>
  <c r="AW6" i="2"/>
  <c r="AV6" i="2"/>
  <c r="AU6" i="2"/>
  <c r="AT6" i="2"/>
  <c r="AS6" i="2"/>
  <c r="AR6" i="2"/>
  <c r="AG39" i="1" l="1"/>
  <c r="AG39" i="4" s="1"/>
  <c r="AD39" i="1"/>
  <c r="AF39" i="4" s="1"/>
  <c r="AA39" i="1"/>
  <c r="AE39" i="4" s="1"/>
  <c r="X39" i="1"/>
  <c r="AD39" i="4" s="1"/>
  <c r="U39" i="1"/>
  <c r="AC39" i="4" s="1"/>
  <c r="R39" i="1"/>
  <c r="AB39" i="4" s="1"/>
  <c r="O39" i="1"/>
  <c r="L39" i="1"/>
  <c r="I39" i="1"/>
  <c r="F39" i="4" s="1"/>
  <c r="F39" i="1"/>
  <c r="D39" i="4" s="1"/>
  <c r="AH38" i="1"/>
  <c r="AG38" i="1"/>
  <c r="AG38" i="4" s="1"/>
  <c r="AD38" i="1"/>
  <c r="AF38" i="4" s="1"/>
  <c r="AB38" i="1"/>
  <c r="AA38" i="1"/>
  <c r="AE38" i="4" s="1"/>
  <c r="Y38" i="1"/>
  <c r="X38" i="1"/>
  <c r="AD38" i="4" s="1"/>
  <c r="V38" i="1"/>
  <c r="U38" i="1"/>
  <c r="AC38" i="4" s="1"/>
  <c r="S38" i="1"/>
  <c r="R38" i="1"/>
  <c r="AB38" i="4" s="1"/>
  <c r="P38" i="1"/>
  <c r="O38" i="1"/>
  <c r="M38" i="1"/>
  <c r="L38" i="1"/>
  <c r="J38" i="1"/>
  <c r="I38" i="1"/>
  <c r="F38" i="4" s="1"/>
  <c r="F38" i="1"/>
  <c r="D38" i="4" s="1"/>
  <c r="AH37" i="1"/>
  <c r="AG37" i="1"/>
  <c r="AG37" i="4" s="1"/>
  <c r="AD37" i="1"/>
  <c r="AF37" i="4" s="1"/>
  <c r="AB37" i="1"/>
  <c r="AA37" i="1"/>
  <c r="AE37" i="4" s="1"/>
  <c r="X37" i="1"/>
  <c r="AD37" i="4" s="1"/>
  <c r="V37" i="1"/>
  <c r="U37" i="1"/>
  <c r="AC37" i="4" s="1"/>
  <c r="S37" i="1"/>
  <c r="R37" i="1"/>
  <c r="AB37" i="4" s="1"/>
  <c r="P37" i="1"/>
  <c r="O37" i="1"/>
  <c r="M37" i="1"/>
  <c r="L37" i="1"/>
  <c r="J37" i="1"/>
  <c r="I37" i="1"/>
  <c r="F37" i="4" s="1"/>
  <c r="F37" i="1"/>
  <c r="D37" i="4" s="1"/>
  <c r="AH36" i="1"/>
  <c r="AG36" i="1"/>
  <c r="AG36" i="4" s="1"/>
  <c r="AD36" i="1"/>
  <c r="AF36" i="4" s="1"/>
  <c r="AB36" i="1"/>
  <c r="AA36" i="1"/>
  <c r="AE36" i="4" s="1"/>
  <c r="Y36" i="1"/>
  <c r="X36" i="1"/>
  <c r="AD36" i="4" s="1"/>
  <c r="V36" i="1"/>
  <c r="U36" i="1"/>
  <c r="AC36" i="4" s="1"/>
  <c r="S36" i="1"/>
  <c r="R36" i="1"/>
  <c r="AB36" i="4" s="1"/>
  <c r="P36" i="1"/>
  <c r="O36" i="1"/>
  <c r="M36" i="1"/>
  <c r="L36" i="1"/>
  <c r="J36" i="1"/>
  <c r="I36" i="1"/>
  <c r="F36" i="4" s="1"/>
  <c r="F36" i="1"/>
  <c r="D36" i="4" s="1"/>
  <c r="AH35" i="1"/>
  <c r="AG35" i="1"/>
  <c r="AG35" i="4" s="1"/>
  <c r="AD35" i="1"/>
  <c r="AF35" i="4" s="1"/>
  <c r="AB35" i="1"/>
  <c r="AA35" i="1"/>
  <c r="AE35" i="4" s="1"/>
  <c r="Y35" i="1"/>
  <c r="X35" i="1"/>
  <c r="AD35" i="4" s="1"/>
  <c r="V35" i="1"/>
  <c r="U35" i="1"/>
  <c r="AC35" i="4" s="1"/>
  <c r="S35" i="1"/>
  <c r="R35" i="1"/>
  <c r="AB35" i="4" s="1"/>
  <c r="P35" i="1"/>
  <c r="O35" i="1"/>
  <c r="M35" i="1"/>
  <c r="L35" i="1"/>
  <c r="J35" i="1"/>
  <c r="I35" i="1"/>
  <c r="F35" i="4" s="1"/>
  <c r="F35" i="1"/>
  <c r="D35" i="4" s="1"/>
  <c r="AG34" i="1"/>
  <c r="AG34" i="4" s="1"/>
  <c r="AD34" i="1"/>
  <c r="AF34" i="4" s="1"/>
  <c r="AA34" i="1"/>
  <c r="AE34" i="4" s="1"/>
  <c r="X34" i="1"/>
  <c r="AD34" i="4" s="1"/>
  <c r="U34" i="1"/>
  <c r="AC34" i="4" s="1"/>
  <c r="R34" i="1"/>
  <c r="AB34" i="4" s="1"/>
  <c r="O34" i="1"/>
  <c r="L34" i="1"/>
  <c r="I34" i="1"/>
  <c r="F34" i="4" s="1"/>
  <c r="F34" i="1"/>
  <c r="D34" i="4" s="1"/>
  <c r="AG33" i="1"/>
  <c r="AG33" i="4" s="1"/>
  <c r="AD33" i="1"/>
  <c r="AF33" i="4" s="1"/>
  <c r="AA33" i="1"/>
  <c r="AE33" i="4" s="1"/>
  <c r="X33" i="1"/>
  <c r="AD33" i="4" s="1"/>
  <c r="U33" i="1"/>
  <c r="AC33" i="4" s="1"/>
  <c r="R33" i="1"/>
  <c r="AB33" i="4" s="1"/>
  <c r="O33" i="1"/>
  <c r="L33" i="1"/>
  <c r="I33" i="1"/>
  <c r="F33" i="4" s="1"/>
  <c r="F33" i="1"/>
  <c r="D33" i="4" s="1"/>
  <c r="AG32" i="1"/>
  <c r="AG32" i="4" s="1"/>
  <c r="AD32" i="1"/>
  <c r="AF32" i="4" s="1"/>
  <c r="AA32" i="1"/>
  <c r="AE32" i="4" s="1"/>
  <c r="X32" i="1"/>
  <c r="AD32" i="4" s="1"/>
  <c r="R32" i="1"/>
  <c r="AB32" i="4" s="1"/>
  <c r="I32" i="1"/>
  <c r="F32" i="4" s="1"/>
  <c r="F32" i="1"/>
  <c r="D32" i="4" s="1"/>
  <c r="AH31" i="1"/>
  <c r="AG31" i="1"/>
  <c r="AG31" i="4" s="1"/>
  <c r="AE31" i="1"/>
  <c r="AB31" i="1"/>
  <c r="AA31" i="1"/>
  <c r="AE31" i="4" s="1"/>
  <c r="Y31" i="1"/>
  <c r="X31" i="1"/>
  <c r="AD31" i="4" s="1"/>
  <c r="V31" i="1"/>
  <c r="U31" i="1"/>
  <c r="AC31" i="4" s="1"/>
  <c r="S31" i="1"/>
  <c r="P31" i="1"/>
  <c r="O31" i="1"/>
  <c r="M31" i="1"/>
  <c r="L31" i="1"/>
  <c r="J31" i="1"/>
  <c r="I31" i="1"/>
  <c r="F31" i="4" s="1"/>
  <c r="F31" i="1"/>
  <c r="D31" i="4" s="1"/>
  <c r="Y33" i="4" l="1"/>
  <c r="C30" i="16"/>
  <c r="C31" i="17" s="1"/>
  <c r="X38" i="4"/>
  <c r="B35" i="16"/>
  <c r="B36" i="17" s="1"/>
  <c r="Y32" i="4"/>
  <c r="C29" i="16"/>
  <c r="C30" i="17" s="1"/>
  <c r="X34" i="4"/>
  <c r="B31" i="16"/>
  <c r="B32" i="17" s="1"/>
  <c r="X36" i="4"/>
  <c r="B33" i="16"/>
  <c r="B34" i="17" s="1"/>
  <c r="Y38" i="4"/>
  <c r="C35" i="16"/>
  <c r="C36" i="17" s="1"/>
  <c r="X32" i="4"/>
  <c r="B29" i="16"/>
  <c r="B30" i="17" s="1"/>
  <c r="Y37" i="4"/>
  <c r="C34" i="16"/>
  <c r="C35" i="17" s="1"/>
  <c r="Y34" i="4"/>
  <c r="C31" i="16"/>
  <c r="C32" i="17" s="1"/>
  <c r="Y36" i="4"/>
  <c r="C33" i="16"/>
  <c r="C34" i="17" s="1"/>
  <c r="W46" i="17" s="1"/>
  <c r="X39" i="4"/>
  <c r="B36" i="16"/>
  <c r="B37" i="17" s="1"/>
  <c r="Y31" i="4"/>
  <c r="C28" i="16"/>
  <c r="C29" i="17" s="1"/>
  <c r="Y35" i="4"/>
  <c r="C32" i="16"/>
  <c r="C33" i="17" s="1"/>
  <c r="X31" i="4"/>
  <c r="B28" i="16"/>
  <c r="B29" i="17" s="1"/>
  <c r="X33" i="4"/>
  <c r="B30" i="16"/>
  <c r="B31" i="17" s="1"/>
  <c r="X35" i="4"/>
  <c r="B32" i="16"/>
  <c r="B33" i="17" s="1"/>
  <c r="X37" i="4"/>
  <c r="B34" i="16"/>
  <c r="B35" i="17" s="1"/>
  <c r="Y39" i="4"/>
  <c r="C36" i="16"/>
  <c r="C37" i="17" s="1"/>
  <c r="AA34" i="4"/>
  <c r="Z34" i="4"/>
  <c r="AA38" i="4"/>
  <c r="Z38" i="4"/>
  <c r="AA36" i="4"/>
  <c r="Z36" i="4"/>
  <c r="Z39" i="4"/>
  <c r="AA39" i="4"/>
  <c r="Z33" i="4"/>
  <c r="AA33" i="4"/>
  <c r="Z31" i="4"/>
  <c r="AA31" i="4"/>
  <c r="AA35" i="4"/>
  <c r="Z35" i="4"/>
  <c r="AA37" i="4"/>
  <c r="Z37" i="4"/>
  <c r="AJ31" i="1"/>
  <c r="AH31" i="6" s="1"/>
  <c r="AJ32" i="1"/>
  <c r="AH32" i="6" s="1"/>
  <c r="AJ33" i="1"/>
  <c r="AH33" i="6" s="1"/>
  <c r="AJ34" i="1"/>
  <c r="AH34" i="6" s="1"/>
  <c r="AJ35" i="1"/>
  <c r="AH35" i="6" s="1"/>
  <c r="AJ36" i="1"/>
  <c r="AH36" i="6" s="1"/>
  <c r="AJ37" i="1"/>
  <c r="AH37" i="6" s="1"/>
  <c r="AJ38" i="1"/>
  <c r="AH38" i="6" s="1"/>
  <c r="AJ39" i="1"/>
  <c r="AH39" i="6" s="1"/>
  <c r="AH38" i="14" l="1"/>
  <c r="AR38" i="14" s="1"/>
  <c r="AH38" i="13"/>
  <c r="AR38" i="13" s="1"/>
  <c r="AH38" i="12"/>
  <c r="AR38" i="12" s="1"/>
  <c r="AH38" i="11"/>
  <c r="AR38" i="11" s="1"/>
  <c r="AH38" i="9"/>
  <c r="AR38" i="9" s="1"/>
  <c r="AH38" i="8"/>
  <c r="AR38" i="8" s="1"/>
  <c r="AH38" i="10"/>
  <c r="AR38" i="10" s="1"/>
  <c r="AH38" i="2"/>
  <c r="AR38" i="2" s="1"/>
  <c r="AH38" i="7"/>
  <c r="AR38" i="7" s="1"/>
  <c r="AR38" i="6"/>
  <c r="AH38" i="5"/>
  <c r="AR38" i="5" s="1"/>
  <c r="AH33" i="14"/>
  <c r="AR33" i="14" s="1"/>
  <c r="AH33" i="13"/>
  <c r="AR33" i="13" s="1"/>
  <c r="AH33" i="12"/>
  <c r="AR33" i="12" s="1"/>
  <c r="AH33" i="11"/>
  <c r="AR33" i="11" s="1"/>
  <c r="AH33" i="9"/>
  <c r="AR33" i="9" s="1"/>
  <c r="AH33" i="10"/>
  <c r="AR33" i="10" s="1"/>
  <c r="AH33" i="5"/>
  <c r="AR33" i="5" s="1"/>
  <c r="AH33" i="8"/>
  <c r="AR33" i="8" s="1"/>
  <c r="AH33" i="7"/>
  <c r="AR33" i="7" s="1"/>
  <c r="AR33" i="6"/>
  <c r="AH33" i="2"/>
  <c r="AR33" i="2" s="1"/>
  <c r="AH32" i="14"/>
  <c r="AR32" i="14" s="1"/>
  <c r="AH32" i="12"/>
  <c r="AR32" i="12" s="1"/>
  <c r="AH32" i="11"/>
  <c r="AR32" i="11" s="1"/>
  <c r="AH32" i="13"/>
  <c r="AR32" i="13" s="1"/>
  <c r="AH32" i="10"/>
  <c r="AR32" i="10" s="1"/>
  <c r="AH32" i="9"/>
  <c r="AR32" i="9" s="1"/>
  <c r="AH32" i="8"/>
  <c r="AR32" i="8" s="1"/>
  <c r="AH32" i="7"/>
  <c r="AR32" i="7" s="1"/>
  <c r="AH32" i="2"/>
  <c r="AR32" i="2" s="1"/>
  <c r="AR32" i="6"/>
  <c r="AH32" i="5"/>
  <c r="AR32" i="5" s="1"/>
  <c r="AH34" i="14"/>
  <c r="AR34" i="14" s="1"/>
  <c r="AH34" i="13"/>
  <c r="AR34" i="13" s="1"/>
  <c r="AH34" i="12"/>
  <c r="AR34" i="12" s="1"/>
  <c r="AH34" i="11"/>
  <c r="AR34" i="11" s="1"/>
  <c r="AH34" i="9"/>
  <c r="AR34" i="9" s="1"/>
  <c r="AH34" i="8"/>
  <c r="AR34" i="8" s="1"/>
  <c r="AH34" i="10"/>
  <c r="AR34" i="10" s="1"/>
  <c r="AH34" i="2"/>
  <c r="AR34" i="2" s="1"/>
  <c r="AH34" i="7"/>
  <c r="AR34" i="7" s="1"/>
  <c r="AH34" i="5"/>
  <c r="AR34" i="5" s="1"/>
  <c r="AR34" i="6"/>
  <c r="AH37" i="14"/>
  <c r="AR37" i="14" s="1"/>
  <c r="AH37" i="13"/>
  <c r="AR37" i="13" s="1"/>
  <c r="AH37" i="12"/>
  <c r="AR37" i="12" s="1"/>
  <c r="AH37" i="11"/>
  <c r="AR37" i="11" s="1"/>
  <c r="AH37" i="9"/>
  <c r="AR37" i="9" s="1"/>
  <c r="AH37" i="10"/>
  <c r="AR37" i="10" s="1"/>
  <c r="AH37" i="8"/>
  <c r="AR37" i="8" s="1"/>
  <c r="AR37" i="6"/>
  <c r="AH37" i="5"/>
  <c r="AR37" i="5" s="1"/>
  <c r="AH37" i="7"/>
  <c r="AR37" i="7" s="1"/>
  <c r="AH37" i="2"/>
  <c r="AR37" i="2" s="1"/>
  <c r="AH36" i="14"/>
  <c r="AR36" i="14" s="1"/>
  <c r="AH36" i="12"/>
  <c r="AR36" i="12" s="1"/>
  <c r="AH36" i="13"/>
  <c r="AR36" i="13" s="1"/>
  <c r="AH36" i="11"/>
  <c r="AR36" i="11" s="1"/>
  <c r="AH36" i="10"/>
  <c r="AR36" i="10" s="1"/>
  <c r="AH36" i="9"/>
  <c r="AR36" i="9" s="1"/>
  <c r="AH36" i="8"/>
  <c r="AR36" i="8" s="1"/>
  <c r="AH36" i="7"/>
  <c r="AR36" i="7" s="1"/>
  <c r="AR36" i="6"/>
  <c r="AH36" i="5"/>
  <c r="AR36" i="5" s="1"/>
  <c r="AH36" i="2"/>
  <c r="AR36" i="2" s="1"/>
  <c r="AH39" i="14"/>
  <c r="AR39" i="14" s="1"/>
  <c r="AH39" i="13"/>
  <c r="AR39" i="13" s="1"/>
  <c r="AH39" i="12"/>
  <c r="AR39" i="12" s="1"/>
  <c r="AH39" i="11"/>
  <c r="AR39" i="11" s="1"/>
  <c r="AH39" i="10"/>
  <c r="AR39" i="10" s="1"/>
  <c r="AH39" i="9"/>
  <c r="AR39" i="9" s="1"/>
  <c r="AH39" i="8"/>
  <c r="AR39" i="8" s="1"/>
  <c r="AR39" i="6"/>
  <c r="AH39" i="5"/>
  <c r="AR39" i="5" s="1"/>
  <c r="AH39" i="7"/>
  <c r="AR39" i="7" s="1"/>
  <c r="AH39" i="2"/>
  <c r="AR39" i="2" s="1"/>
  <c r="AH35" i="14"/>
  <c r="AR35" i="14" s="1"/>
  <c r="AH35" i="13"/>
  <c r="AR35" i="13" s="1"/>
  <c r="AH35" i="12"/>
  <c r="AR35" i="12" s="1"/>
  <c r="AH35" i="11"/>
  <c r="AR35" i="11" s="1"/>
  <c r="AH35" i="10"/>
  <c r="AR35" i="10" s="1"/>
  <c r="AH35" i="9"/>
  <c r="AR35" i="9" s="1"/>
  <c r="AH35" i="8"/>
  <c r="AR35" i="8" s="1"/>
  <c r="AH35" i="7"/>
  <c r="AR35" i="7" s="1"/>
  <c r="AR35" i="6"/>
  <c r="AH35" i="5"/>
  <c r="AR35" i="5" s="1"/>
  <c r="AH35" i="2"/>
  <c r="AR35" i="2" s="1"/>
  <c r="AH31" i="14"/>
  <c r="AR31" i="14" s="1"/>
  <c r="AH31" i="13"/>
  <c r="AR31" i="13" s="1"/>
  <c r="AH31" i="12"/>
  <c r="AR31" i="12" s="1"/>
  <c r="AH31" i="11"/>
  <c r="AR31" i="11" s="1"/>
  <c r="AH31" i="9"/>
  <c r="AR31" i="9" s="1"/>
  <c r="AH31" i="10"/>
  <c r="AR31" i="10" s="1"/>
  <c r="AH31" i="8"/>
  <c r="AR31" i="8" s="1"/>
  <c r="AH31" i="5"/>
  <c r="AR31" i="5" s="1"/>
  <c r="AH31" i="7"/>
  <c r="AR31" i="7" s="1"/>
  <c r="AR31" i="6"/>
  <c r="AH31" i="2"/>
  <c r="AR31" i="2" s="1"/>
  <c r="AJ72" i="1"/>
  <c r="AH72" i="6" s="1"/>
  <c r="AK72" i="1"/>
  <c r="AI72" i="6" s="1"/>
  <c r="AL72" i="1"/>
  <c r="AM72" i="1"/>
  <c r="AN72" i="1"/>
  <c r="AO72" i="1"/>
  <c r="AP72" i="1"/>
  <c r="AQ72" i="1"/>
  <c r="AR72" i="1"/>
  <c r="AS72" i="1"/>
  <c r="AJ73" i="1"/>
  <c r="AH73" i="6" s="1"/>
  <c r="AK73" i="1"/>
  <c r="AI73" i="6" s="1"/>
  <c r="AL73" i="1"/>
  <c r="AM73" i="1"/>
  <c r="AN73" i="1"/>
  <c r="AO73" i="1"/>
  <c r="AP73" i="1"/>
  <c r="AQ73" i="1"/>
  <c r="AR73" i="1"/>
  <c r="AS73" i="1"/>
  <c r="AJ74" i="1"/>
  <c r="AH74" i="6" s="1"/>
  <c r="AK74" i="1"/>
  <c r="AI74" i="6" s="1"/>
  <c r="AL74" i="1"/>
  <c r="AM74" i="1"/>
  <c r="AN74" i="1"/>
  <c r="AO74" i="1"/>
  <c r="AP74" i="1"/>
  <c r="AQ74" i="1"/>
  <c r="AR74" i="1"/>
  <c r="AS74" i="1"/>
  <c r="AJ75" i="1"/>
  <c r="AH75" i="6" s="1"/>
  <c r="AK75" i="1"/>
  <c r="AI75" i="6" s="1"/>
  <c r="AL75" i="1"/>
  <c r="AM75" i="1"/>
  <c r="AN75" i="1"/>
  <c r="AO75" i="1"/>
  <c r="AP75" i="1"/>
  <c r="AQ75" i="1"/>
  <c r="AR75" i="1"/>
  <c r="AS75" i="1"/>
  <c r="AJ76" i="1"/>
  <c r="AH76" i="6" s="1"/>
  <c r="AK76" i="1"/>
  <c r="AI76" i="6" s="1"/>
  <c r="AL76" i="1"/>
  <c r="AM76" i="1"/>
  <c r="AN76" i="1"/>
  <c r="AO76" i="1"/>
  <c r="AP76" i="1"/>
  <c r="AQ76" i="1"/>
  <c r="AR76" i="1"/>
  <c r="AS76" i="1"/>
  <c r="AJ77" i="1"/>
  <c r="AH77" i="6" s="1"/>
  <c r="AK77" i="1"/>
  <c r="AI77" i="6" s="1"/>
  <c r="AL77" i="1"/>
  <c r="AM77" i="1"/>
  <c r="AN77" i="1"/>
  <c r="AO77" i="1"/>
  <c r="AP77" i="1"/>
  <c r="AQ77" i="1"/>
  <c r="AR77" i="1"/>
  <c r="AS77" i="1"/>
  <c r="AJ78" i="1"/>
  <c r="AH78" i="6" s="1"/>
  <c r="AK78" i="1"/>
  <c r="AI78" i="6" s="1"/>
  <c r="AL78" i="1"/>
  <c r="AM78" i="1"/>
  <c r="AN78" i="1"/>
  <c r="AO78" i="1"/>
  <c r="AP78" i="1"/>
  <c r="AQ78" i="1"/>
  <c r="AR78" i="1"/>
  <c r="AS78" i="1"/>
  <c r="AJ79" i="1"/>
  <c r="AH79" i="6" s="1"/>
  <c r="AK79" i="1"/>
  <c r="AI79" i="6" s="1"/>
  <c r="AL79" i="1"/>
  <c r="AM79" i="1"/>
  <c r="AN79" i="1"/>
  <c r="AO79" i="1"/>
  <c r="AP79" i="1"/>
  <c r="AQ79" i="1"/>
  <c r="AR79" i="1"/>
  <c r="AS79" i="1"/>
  <c r="AJ44" i="1"/>
  <c r="AH44" i="6" s="1"/>
  <c r="AK44" i="1"/>
  <c r="AI44" i="6" s="1"/>
  <c r="AL44" i="1"/>
  <c r="AM44" i="1"/>
  <c r="AN44" i="1"/>
  <c r="AO44" i="1"/>
  <c r="AP44" i="1"/>
  <c r="AQ44" i="1"/>
  <c r="AR44" i="1"/>
  <c r="AS44" i="1"/>
  <c r="AJ45" i="1"/>
  <c r="AH45" i="6" s="1"/>
  <c r="AK45" i="1"/>
  <c r="AI45" i="6" s="1"/>
  <c r="AL45" i="1"/>
  <c r="AM45" i="1"/>
  <c r="AN45" i="1"/>
  <c r="AO45" i="1"/>
  <c r="AP45" i="1"/>
  <c r="AQ45" i="1"/>
  <c r="AR45" i="1"/>
  <c r="AS45" i="1"/>
  <c r="AJ46" i="1"/>
  <c r="AH46" i="6" s="1"/>
  <c r="AK46" i="1"/>
  <c r="AI46" i="6" s="1"/>
  <c r="AL46" i="1"/>
  <c r="AM46" i="1"/>
  <c r="AN46" i="1"/>
  <c r="AO46" i="1"/>
  <c r="AP46" i="1"/>
  <c r="AQ46" i="1"/>
  <c r="AR46" i="1"/>
  <c r="AS46" i="1"/>
  <c r="AJ47" i="1"/>
  <c r="AH47" i="6" s="1"/>
  <c r="AK47" i="1"/>
  <c r="AI47" i="6" s="1"/>
  <c r="AL47" i="1"/>
  <c r="AM47" i="1"/>
  <c r="AN47" i="1"/>
  <c r="AO47" i="1"/>
  <c r="AP47" i="1"/>
  <c r="AQ47" i="1"/>
  <c r="AR47" i="1"/>
  <c r="AS47" i="1"/>
  <c r="AJ48" i="1"/>
  <c r="AH48" i="6" s="1"/>
  <c r="AK48" i="1"/>
  <c r="AI48" i="6" s="1"/>
  <c r="AL48" i="1"/>
  <c r="AM48" i="1"/>
  <c r="AN48" i="1"/>
  <c r="AO48" i="1"/>
  <c r="AP48" i="1"/>
  <c r="AQ48" i="1"/>
  <c r="AR48" i="1"/>
  <c r="AS48" i="1"/>
  <c r="AJ49" i="1"/>
  <c r="AH49" i="6" s="1"/>
  <c r="AK49" i="1"/>
  <c r="AI49" i="6" s="1"/>
  <c r="AL49" i="1"/>
  <c r="AM49" i="1"/>
  <c r="AN49" i="1"/>
  <c r="AO49" i="1"/>
  <c r="AP49" i="1"/>
  <c r="AQ49" i="1"/>
  <c r="AR49" i="1"/>
  <c r="AS49" i="1"/>
  <c r="AJ50" i="1"/>
  <c r="AH50" i="6" s="1"/>
  <c r="AK50" i="1"/>
  <c r="AI50" i="6" s="1"/>
  <c r="AL50" i="1"/>
  <c r="AM50" i="1"/>
  <c r="AN50" i="1"/>
  <c r="AO50" i="1"/>
  <c r="AP50" i="1"/>
  <c r="AQ50" i="1"/>
  <c r="AR50" i="1"/>
  <c r="AS50" i="1"/>
  <c r="AJ51" i="1"/>
  <c r="AH51" i="6" s="1"/>
  <c r="AK51" i="1"/>
  <c r="AI51" i="6" s="1"/>
  <c r="AL51" i="1"/>
  <c r="AM51" i="1"/>
  <c r="AN51" i="1"/>
  <c r="AO51" i="1"/>
  <c r="AP51" i="1"/>
  <c r="AQ51" i="1"/>
  <c r="AR51" i="1"/>
  <c r="AS51" i="1"/>
  <c r="AJ52" i="1"/>
  <c r="AH52" i="6" s="1"/>
  <c r="AK52" i="1"/>
  <c r="AI52" i="6" s="1"/>
  <c r="AL52" i="1"/>
  <c r="AM52" i="1"/>
  <c r="AN52" i="1"/>
  <c r="AO52" i="1"/>
  <c r="AP52" i="1"/>
  <c r="AQ52" i="1"/>
  <c r="AR52" i="1"/>
  <c r="AS52" i="1"/>
  <c r="AJ53" i="1"/>
  <c r="AH53" i="6" s="1"/>
  <c r="AK53" i="1"/>
  <c r="AI53" i="6" s="1"/>
  <c r="AL53" i="1"/>
  <c r="AM53" i="1"/>
  <c r="AN53" i="1"/>
  <c r="AO53" i="1"/>
  <c r="AP53" i="1"/>
  <c r="AQ53" i="1"/>
  <c r="AR53" i="1"/>
  <c r="AS53" i="1"/>
  <c r="AJ43" i="1"/>
  <c r="AH43" i="6" s="1"/>
  <c r="AZ53" i="1" l="1"/>
  <c r="AN53" i="14"/>
  <c r="AX53" i="14" s="1"/>
  <c r="AN53" i="12"/>
  <c r="AX53" i="12" s="1"/>
  <c r="AN53" i="10"/>
  <c r="AX53" i="10" s="1"/>
  <c r="AN53" i="13"/>
  <c r="AX53" i="13" s="1"/>
  <c r="AN53" i="11"/>
  <c r="AX53" i="11" s="1"/>
  <c r="AN53" i="8"/>
  <c r="AX53" i="8" s="1"/>
  <c r="AN53" i="7"/>
  <c r="AX53" i="7" s="1"/>
  <c r="AN53" i="6"/>
  <c r="AX53" i="6" s="1"/>
  <c r="AN53" i="2"/>
  <c r="AX53" i="2" s="1"/>
  <c r="AN53" i="9"/>
  <c r="AX53" i="9" s="1"/>
  <c r="AN53" i="5"/>
  <c r="AX53" i="5" s="1"/>
  <c r="BB52" i="1"/>
  <c r="AP52" i="14"/>
  <c r="AZ52" i="14" s="1"/>
  <c r="AP52" i="13"/>
  <c r="AZ52" i="13" s="1"/>
  <c r="AP52" i="12"/>
  <c r="AZ52" i="12" s="1"/>
  <c r="AP52" i="11"/>
  <c r="AZ52" i="11" s="1"/>
  <c r="AP52" i="10"/>
  <c r="AZ52" i="10" s="1"/>
  <c r="AP52" i="9"/>
  <c r="AZ52" i="9" s="1"/>
  <c r="AP52" i="7"/>
  <c r="AZ52" i="7" s="1"/>
  <c r="AP52" i="8"/>
  <c r="AZ52" i="8" s="1"/>
  <c r="AP52" i="6"/>
  <c r="AZ52" i="6" s="1"/>
  <c r="AP52" i="5"/>
  <c r="AZ52" i="5" s="1"/>
  <c r="AP52" i="2"/>
  <c r="AZ52" i="2" s="1"/>
  <c r="AT52" i="1"/>
  <c r="AH52" i="14"/>
  <c r="AR52" i="14" s="1"/>
  <c r="AH52" i="12"/>
  <c r="AR52" i="12" s="1"/>
  <c r="AH52" i="13"/>
  <c r="AR52" i="13" s="1"/>
  <c r="AH52" i="11"/>
  <c r="AR52" i="11" s="1"/>
  <c r="AH52" i="10"/>
  <c r="AR52" i="10" s="1"/>
  <c r="AH52" i="9"/>
  <c r="AR52" i="9" s="1"/>
  <c r="AH52" i="7"/>
  <c r="AR52" i="7" s="1"/>
  <c r="AH52" i="8"/>
  <c r="AR52" i="8" s="1"/>
  <c r="AR52" i="6"/>
  <c r="AH52" i="5"/>
  <c r="AR52" i="5" s="1"/>
  <c r="AH52" i="2"/>
  <c r="AR52" i="2" s="1"/>
  <c r="AV51" i="1"/>
  <c r="AJ51" i="14"/>
  <c r="AT51" i="14" s="1"/>
  <c r="AJ51" i="13"/>
  <c r="AT51" i="13" s="1"/>
  <c r="AJ51" i="12"/>
  <c r="AT51" i="12" s="1"/>
  <c r="AJ51" i="11"/>
  <c r="AT51" i="11" s="1"/>
  <c r="AJ51" i="10"/>
  <c r="AT51" i="10" s="1"/>
  <c r="AJ51" i="9"/>
  <c r="AT51" i="9" s="1"/>
  <c r="AJ51" i="7"/>
  <c r="AT51" i="7" s="1"/>
  <c r="AJ51" i="2"/>
  <c r="AT51" i="2" s="1"/>
  <c r="AJ51" i="5"/>
  <c r="AT51" i="5" s="1"/>
  <c r="AJ51" i="6"/>
  <c r="AT51" i="6" s="1"/>
  <c r="AJ51" i="8"/>
  <c r="AT51" i="8" s="1"/>
  <c r="AX50" i="1"/>
  <c r="AL50" i="14"/>
  <c r="AV50" i="14" s="1"/>
  <c r="AL50" i="13"/>
  <c r="AV50" i="13" s="1"/>
  <c r="AL50" i="12"/>
  <c r="AV50" i="12" s="1"/>
  <c r="AL50" i="11"/>
  <c r="AV50" i="11" s="1"/>
  <c r="AL50" i="9"/>
  <c r="AV50" i="9" s="1"/>
  <c r="AL50" i="10"/>
  <c r="AV50" i="10" s="1"/>
  <c r="AL50" i="8"/>
  <c r="AV50" i="8" s="1"/>
  <c r="AL50" i="7"/>
  <c r="AV50" i="7" s="1"/>
  <c r="AL50" i="5"/>
  <c r="AV50" i="5" s="1"/>
  <c r="AL50" i="2"/>
  <c r="AV50" i="2" s="1"/>
  <c r="AL50" i="6"/>
  <c r="AV50" i="6" s="1"/>
  <c r="AZ49" i="1"/>
  <c r="AN49" i="14"/>
  <c r="AX49" i="14" s="1"/>
  <c r="AN49" i="13"/>
  <c r="AX49" i="13" s="1"/>
  <c r="AN49" i="12"/>
  <c r="AX49" i="12" s="1"/>
  <c r="AN49" i="10"/>
  <c r="AX49" i="10" s="1"/>
  <c r="AN49" i="11"/>
  <c r="AX49" i="11" s="1"/>
  <c r="AN49" i="8"/>
  <c r="AX49" i="8" s="1"/>
  <c r="AN49" i="7"/>
  <c r="AX49" i="7" s="1"/>
  <c r="AN49" i="6"/>
  <c r="AX49" i="6" s="1"/>
  <c r="AN49" i="2"/>
  <c r="AX49" i="2" s="1"/>
  <c r="AN49" i="9"/>
  <c r="AX49" i="9" s="1"/>
  <c r="AN49" i="5"/>
  <c r="AX49" i="5" s="1"/>
  <c r="BB48" i="1"/>
  <c r="AP48" i="14"/>
  <c r="AZ48" i="14" s="1"/>
  <c r="AP48" i="13"/>
  <c r="AZ48" i="13" s="1"/>
  <c r="AP48" i="12"/>
  <c r="AZ48" i="12" s="1"/>
  <c r="AP48" i="11"/>
  <c r="AZ48" i="11" s="1"/>
  <c r="AP48" i="10"/>
  <c r="AZ48" i="10" s="1"/>
  <c r="AP48" i="9"/>
  <c r="AZ48" i="9" s="1"/>
  <c r="AP48" i="7"/>
  <c r="AZ48" i="7" s="1"/>
  <c r="AP48" i="8"/>
  <c r="AZ48" i="8" s="1"/>
  <c r="AP48" i="5"/>
  <c r="AZ48" i="5" s="1"/>
  <c r="AP48" i="6"/>
  <c r="AZ48" i="6" s="1"/>
  <c r="AP48" i="2"/>
  <c r="AZ48" i="2" s="1"/>
  <c r="AT48" i="1"/>
  <c r="AH48" i="14"/>
  <c r="AR48" i="14" s="1"/>
  <c r="AH48" i="13"/>
  <c r="AR48" i="13" s="1"/>
  <c r="AH48" i="12"/>
  <c r="AR48" i="12" s="1"/>
  <c r="AH48" i="11"/>
  <c r="AR48" i="11" s="1"/>
  <c r="AH48" i="10"/>
  <c r="AR48" i="10" s="1"/>
  <c r="AH48" i="9"/>
  <c r="AR48" i="9" s="1"/>
  <c r="AH48" i="7"/>
  <c r="AR48" i="7" s="1"/>
  <c r="AH48" i="8"/>
  <c r="AR48" i="8" s="1"/>
  <c r="AH48" i="5"/>
  <c r="AR48" i="5" s="1"/>
  <c r="AR48" i="6"/>
  <c r="AH48" i="2"/>
  <c r="AR48" i="2" s="1"/>
  <c r="AV47" i="1"/>
  <c r="AJ47" i="14"/>
  <c r="AT47" i="14" s="1"/>
  <c r="AJ47" i="13"/>
  <c r="AT47" i="13" s="1"/>
  <c r="AJ47" i="12"/>
  <c r="AT47" i="12" s="1"/>
  <c r="AJ47" i="10"/>
  <c r="AT47" i="10" s="1"/>
  <c r="AJ47" i="11"/>
  <c r="AT47" i="11" s="1"/>
  <c r="AJ47" i="9"/>
  <c r="AT47" i="9" s="1"/>
  <c r="AJ47" i="7"/>
  <c r="AT47" i="7" s="1"/>
  <c r="AJ47" i="6"/>
  <c r="AT47" i="6" s="1"/>
  <c r="AJ47" i="2"/>
  <c r="AT47" i="2" s="1"/>
  <c r="AJ47" i="8"/>
  <c r="AT47" i="8" s="1"/>
  <c r="AJ47" i="5"/>
  <c r="AT47" i="5" s="1"/>
  <c r="AX46" i="1"/>
  <c r="AL46" i="14"/>
  <c r="AV46" i="14" s="1"/>
  <c r="AL46" i="12"/>
  <c r="AV46" i="12" s="1"/>
  <c r="AL46" i="11"/>
  <c r="AV46" i="11" s="1"/>
  <c r="AL46" i="10"/>
  <c r="AV46" i="10" s="1"/>
  <c r="AL46" i="9"/>
  <c r="AV46" i="9" s="1"/>
  <c r="AL46" i="13"/>
  <c r="AV46" i="13" s="1"/>
  <c r="AL46" i="8"/>
  <c r="AV46" i="8" s="1"/>
  <c r="AL46" i="6"/>
  <c r="AV46" i="6" s="1"/>
  <c r="AL46" i="5"/>
  <c r="AV46" i="5" s="1"/>
  <c r="AL46" i="7"/>
  <c r="AV46" i="7" s="1"/>
  <c r="AL46" i="2"/>
  <c r="AV46" i="2" s="1"/>
  <c r="AZ45" i="1"/>
  <c r="AN45" i="14"/>
  <c r="AX45" i="14" s="1"/>
  <c r="AN45" i="13"/>
  <c r="AX45" i="13" s="1"/>
  <c r="AN45" i="12"/>
  <c r="AX45" i="12" s="1"/>
  <c r="AN45" i="10"/>
  <c r="AX45" i="10" s="1"/>
  <c r="AN45" i="11"/>
  <c r="AX45" i="11" s="1"/>
  <c r="AN45" i="8"/>
  <c r="AX45" i="8" s="1"/>
  <c r="AN45" i="7"/>
  <c r="AX45" i="7" s="1"/>
  <c r="AN45" i="2"/>
  <c r="AX45" i="2" s="1"/>
  <c r="AN45" i="6"/>
  <c r="AX45" i="6" s="1"/>
  <c r="AN45" i="9"/>
  <c r="AX45" i="9" s="1"/>
  <c r="AN45" i="5"/>
  <c r="AX45" i="5" s="1"/>
  <c r="BB44" i="1"/>
  <c r="AP44" i="14"/>
  <c r="AZ44" i="14" s="1"/>
  <c r="AP44" i="12"/>
  <c r="AZ44" i="12" s="1"/>
  <c r="AP44" i="13"/>
  <c r="AZ44" i="13" s="1"/>
  <c r="AP44" i="11"/>
  <c r="AZ44" i="11" s="1"/>
  <c r="AP44" i="10"/>
  <c r="AZ44" i="10" s="1"/>
  <c r="AP44" i="9"/>
  <c r="AZ44" i="9" s="1"/>
  <c r="AP44" i="7"/>
  <c r="AZ44" i="7" s="1"/>
  <c r="AP44" i="8"/>
  <c r="AZ44" i="8" s="1"/>
  <c r="AP44" i="5"/>
  <c r="AZ44" i="5" s="1"/>
  <c r="AP44" i="2"/>
  <c r="AZ44" i="2" s="1"/>
  <c r="AP44" i="6"/>
  <c r="AZ44" i="6" s="1"/>
  <c r="AT44" i="1"/>
  <c r="AH44" i="14"/>
  <c r="AR44" i="14" s="1"/>
  <c r="AH44" i="13"/>
  <c r="AR44" i="13" s="1"/>
  <c r="AH44" i="12"/>
  <c r="AR44" i="12" s="1"/>
  <c r="AH44" i="11"/>
  <c r="AR44" i="11" s="1"/>
  <c r="AH44" i="10"/>
  <c r="AR44" i="10" s="1"/>
  <c r="AH44" i="9"/>
  <c r="AR44" i="9" s="1"/>
  <c r="AH44" i="8"/>
  <c r="AR44" i="8" s="1"/>
  <c r="AH44" i="5"/>
  <c r="AR44" i="5" s="1"/>
  <c r="AH44" i="7"/>
  <c r="AR44" i="7" s="1"/>
  <c r="AH44" i="2"/>
  <c r="AR44" i="2" s="1"/>
  <c r="AR44" i="6"/>
  <c r="AV79" i="1"/>
  <c r="AJ79" i="14"/>
  <c r="AT79" i="14" s="1"/>
  <c r="AJ79" i="13"/>
  <c r="AT79" i="13" s="1"/>
  <c r="AJ79" i="12"/>
  <c r="AT79" i="12" s="1"/>
  <c r="AJ79" i="11"/>
  <c r="AT79" i="11" s="1"/>
  <c r="AJ79" i="10"/>
  <c r="AT79" i="10" s="1"/>
  <c r="AJ79" i="9"/>
  <c r="AT79" i="9" s="1"/>
  <c r="AJ79" i="8"/>
  <c r="AT79" i="8" s="1"/>
  <c r="AJ79" i="7"/>
  <c r="AT79" i="7" s="1"/>
  <c r="AJ79" i="5"/>
  <c r="AT79" i="5" s="1"/>
  <c r="AJ79" i="6"/>
  <c r="AT79" i="6" s="1"/>
  <c r="AJ79" i="2"/>
  <c r="AT79" i="2" s="1"/>
  <c r="AX78" i="1"/>
  <c r="AL78" i="14"/>
  <c r="AV78" i="14" s="1"/>
  <c r="AL78" i="13"/>
  <c r="AV78" i="13" s="1"/>
  <c r="AL78" i="12"/>
  <c r="AV78" i="12" s="1"/>
  <c r="AL78" i="11"/>
  <c r="AV78" i="11" s="1"/>
  <c r="AL78" i="9"/>
  <c r="AV78" i="9" s="1"/>
  <c r="AL78" i="10"/>
  <c r="AV78" i="10" s="1"/>
  <c r="AL78" i="8"/>
  <c r="AV78" i="8" s="1"/>
  <c r="AL78" i="7"/>
  <c r="AV78" i="7" s="1"/>
  <c r="AL78" i="6"/>
  <c r="AV78" i="6" s="1"/>
  <c r="AL78" i="5"/>
  <c r="AV78" i="5" s="1"/>
  <c r="AL78" i="2"/>
  <c r="AV78" i="2" s="1"/>
  <c r="AZ77" i="1"/>
  <c r="AN77" i="14"/>
  <c r="AX77" i="14" s="1"/>
  <c r="AN77" i="13"/>
  <c r="AX77" i="13" s="1"/>
  <c r="AN77" i="12"/>
  <c r="AX77" i="12" s="1"/>
  <c r="AN77" i="11"/>
  <c r="AX77" i="11" s="1"/>
  <c r="AN77" i="10"/>
  <c r="AX77" i="10" s="1"/>
  <c r="AN77" i="9"/>
  <c r="AX77" i="9" s="1"/>
  <c r="AN77" i="8"/>
  <c r="AX77" i="8" s="1"/>
  <c r="AN77" i="7"/>
  <c r="AX77" i="7" s="1"/>
  <c r="AN77" i="5"/>
  <c r="AX77" i="5" s="1"/>
  <c r="AN77" i="2"/>
  <c r="AX77" i="2" s="1"/>
  <c r="AN77" i="6"/>
  <c r="AX77" i="6" s="1"/>
  <c r="BB76" i="1"/>
  <c r="AP76" i="14"/>
  <c r="AZ76" i="14" s="1"/>
  <c r="AP76" i="13"/>
  <c r="AZ76" i="13" s="1"/>
  <c r="AP76" i="12"/>
  <c r="AZ76" i="12" s="1"/>
  <c r="AP76" i="11"/>
  <c r="AZ76" i="11" s="1"/>
  <c r="AP76" i="9"/>
  <c r="AZ76" i="9" s="1"/>
  <c r="AP76" i="8"/>
  <c r="AZ76" i="8" s="1"/>
  <c r="AP76" i="10"/>
  <c r="AZ76" i="10" s="1"/>
  <c r="AP76" i="7"/>
  <c r="AZ76" i="7" s="1"/>
  <c r="AP76" i="5"/>
  <c r="AZ76" i="5" s="1"/>
  <c r="AP76" i="2"/>
  <c r="AZ76" i="2" s="1"/>
  <c r="AP76" i="6"/>
  <c r="AZ76" i="6" s="1"/>
  <c r="AT76" i="1"/>
  <c r="AH76" i="14"/>
  <c r="AR76" i="14" s="1"/>
  <c r="AH76" i="13"/>
  <c r="AR76" i="13" s="1"/>
  <c r="AH76" i="11"/>
  <c r="AR76" i="11" s="1"/>
  <c r="AH76" i="12"/>
  <c r="AR76" i="12" s="1"/>
  <c r="AH76" i="9"/>
  <c r="AR76" i="9" s="1"/>
  <c r="AH76" i="10"/>
  <c r="AR76" i="10" s="1"/>
  <c r="AH76" i="8"/>
  <c r="AR76" i="8" s="1"/>
  <c r="AH76" i="7"/>
  <c r="AR76" i="7" s="1"/>
  <c r="AR76" i="6"/>
  <c r="AH76" i="5"/>
  <c r="AR76" i="5" s="1"/>
  <c r="AH76" i="2"/>
  <c r="AR76" i="2" s="1"/>
  <c r="AV75" i="1"/>
  <c r="AJ75" i="14"/>
  <c r="AT75" i="14" s="1"/>
  <c r="AJ75" i="13"/>
  <c r="AT75" i="13" s="1"/>
  <c r="AJ75" i="12"/>
  <c r="AT75" i="12" s="1"/>
  <c r="AJ75" i="11"/>
  <c r="AT75" i="11" s="1"/>
  <c r="AJ75" i="10"/>
  <c r="AT75" i="10" s="1"/>
  <c r="AJ75" i="9"/>
  <c r="AT75" i="9" s="1"/>
  <c r="AJ75" i="8"/>
  <c r="AT75" i="8" s="1"/>
  <c r="AJ75" i="7"/>
  <c r="AT75" i="7" s="1"/>
  <c r="AJ75" i="5"/>
  <c r="AT75" i="5" s="1"/>
  <c r="AJ75" i="6"/>
  <c r="AT75" i="6" s="1"/>
  <c r="AJ75" i="2"/>
  <c r="AT75" i="2" s="1"/>
  <c r="AX74" i="1"/>
  <c r="AL74" i="14"/>
  <c r="AV74" i="14" s="1"/>
  <c r="AL74" i="13"/>
  <c r="AV74" i="13" s="1"/>
  <c r="AL74" i="12"/>
  <c r="AV74" i="12" s="1"/>
  <c r="AL74" i="11"/>
  <c r="AV74" i="11" s="1"/>
  <c r="AL74" i="9"/>
  <c r="AV74" i="9" s="1"/>
  <c r="AL74" i="8"/>
  <c r="AV74" i="8" s="1"/>
  <c r="AL74" i="7"/>
  <c r="AV74" i="7" s="1"/>
  <c r="AL74" i="5"/>
  <c r="AV74" i="5" s="1"/>
  <c r="AL74" i="2"/>
  <c r="AV74" i="2" s="1"/>
  <c r="AL74" i="10"/>
  <c r="AV74" i="10" s="1"/>
  <c r="AL74" i="6"/>
  <c r="AV74" i="6" s="1"/>
  <c r="AZ73" i="1"/>
  <c r="AN73" i="14"/>
  <c r="AX73" i="14" s="1"/>
  <c r="AN73" i="13"/>
  <c r="AX73" i="13" s="1"/>
  <c r="AN73" i="11"/>
  <c r="AX73" i="11" s="1"/>
  <c r="AN73" i="12"/>
  <c r="AX73" i="12" s="1"/>
  <c r="AN73" i="10"/>
  <c r="AX73" i="10" s="1"/>
  <c r="AN73" i="9"/>
  <c r="AX73" i="9" s="1"/>
  <c r="AN73" i="8"/>
  <c r="AX73" i="8" s="1"/>
  <c r="AN73" i="7"/>
  <c r="AX73" i="7" s="1"/>
  <c r="AN73" i="5"/>
  <c r="AX73" i="5" s="1"/>
  <c r="AN73" i="6"/>
  <c r="AX73" i="6" s="1"/>
  <c r="AN73" i="2"/>
  <c r="AX73" i="2" s="1"/>
  <c r="AX72" i="1"/>
  <c r="AL72" i="14"/>
  <c r="AV72" i="14" s="1"/>
  <c r="AL72" i="13"/>
  <c r="AV72" i="13" s="1"/>
  <c r="AL72" i="11"/>
  <c r="AV72" i="11" s="1"/>
  <c r="AL72" i="10"/>
  <c r="AV72" i="10" s="1"/>
  <c r="AL72" i="9"/>
  <c r="AV72" i="9" s="1"/>
  <c r="AL72" i="12"/>
  <c r="AV72" i="12" s="1"/>
  <c r="AL72" i="8"/>
  <c r="AV72" i="8" s="1"/>
  <c r="AL72" i="7"/>
  <c r="AV72" i="7" s="1"/>
  <c r="AL72" i="5"/>
  <c r="AV72" i="5" s="1"/>
  <c r="AL72" i="6"/>
  <c r="AV72" i="6" s="1"/>
  <c r="AL72" i="2"/>
  <c r="AV72" i="2" s="1"/>
  <c r="AY53" i="1"/>
  <c r="AM53" i="14"/>
  <c r="AW53" i="14" s="1"/>
  <c r="AM53" i="13"/>
  <c r="AW53" i="13" s="1"/>
  <c r="AM53" i="11"/>
  <c r="AW53" i="11" s="1"/>
  <c r="AM53" i="10"/>
  <c r="AW53" i="10" s="1"/>
  <c r="AM53" i="9"/>
  <c r="AW53" i="9" s="1"/>
  <c r="AM53" i="12"/>
  <c r="AW53" i="12" s="1"/>
  <c r="AM53" i="8"/>
  <c r="AW53" i="8" s="1"/>
  <c r="AM53" i="7"/>
  <c r="AW53" i="7" s="1"/>
  <c r="AM53" i="2"/>
  <c r="AW53" i="2" s="1"/>
  <c r="AM53" i="6"/>
  <c r="AW53" i="6" s="1"/>
  <c r="AM53" i="5"/>
  <c r="AW53" i="5" s="1"/>
  <c r="AW52" i="1"/>
  <c r="AK52" i="14"/>
  <c r="AU52" i="14" s="1"/>
  <c r="AK52" i="13"/>
  <c r="AU52" i="13" s="1"/>
  <c r="AK52" i="12"/>
  <c r="AU52" i="12" s="1"/>
  <c r="AK52" i="11"/>
  <c r="AU52" i="11" s="1"/>
  <c r="AK52" i="9"/>
  <c r="AU52" i="9" s="1"/>
  <c r="AK52" i="7"/>
  <c r="AU52" i="7" s="1"/>
  <c r="AK52" i="10"/>
  <c r="AU52" i="10" s="1"/>
  <c r="AK52" i="2"/>
  <c r="AU52" i="2" s="1"/>
  <c r="AK52" i="6"/>
  <c r="AU52" i="6" s="1"/>
  <c r="AK52" i="5"/>
  <c r="AU52" i="5" s="1"/>
  <c r="AK52" i="8"/>
  <c r="AU52" i="8" s="1"/>
  <c r="AY51" i="1"/>
  <c r="AM51" i="14"/>
  <c r="AW51" i="14" s="1"/>
  <c r="AM51" i="13"/>
  <c r="AW51" i="13" s="1"/>
  <c r="AM51" i="11"/>
  <c r="AW51" i="11" s="1"/>
  <c r="AM51" i="9"/>
  <c r="AW51" i="9" s="1"/>
  <c r="AM51" i="12"/>
  <c r="AW51" i="12" s="1"/>
  <c r="AM51" i="10"/>
  <c r="AW51" i="10" s="1"/>
  <c r="AM51" i="8"/>
  <c r="AW51" i="8" s="1"/>
  <c r="AM51" i="7"/>
  <c r="AW51" i="7" s="1"/>
  <c r="AM51" i="6"/>
  <c r="AW51" i="6" s="1"/>
  <c r="AM51" i="2"/>
  <c r="AW51" i="2" s="1"/>
  <c r="AM51" i="5"/>
  <c r="AW51" i="5" s="1"/>
  <c r="BA50" i="1"/>
  <c r="AO50" i="14"/>
  <c r="AY50" i="14" s="1"/>
  <c r="AO50" i="13"/>
  <c r="AY50" i="13" s="1"/>
  <c r="AO50" i="12"/>
  <c r="AY50" i="12" s="1"/>
  <c r="AO50" i="10"/>
  <c r="AY50" i="10" s="1"/>
  <c r="AO50" i="11"/>
  <c r="AY50" i="11" s="1"/>
  <c r="AO50" i="8"/>
  <c r="AY50" i="8" s="1"/>
  <c r="AO50" i="9"/>
  <c r="AY50" i="9" s="1"/>
  <c r="AO50" i="6"/>
  <c r="AY50" i="6" s="1"/>
  <c r="AO50" i="2"/>
  <c r="AY50" i="2" s="1"/>
  <c r="AO50" i="5"/>
  <c r="AY50" i="5" s="1"/>
  <c r="AO50" i="7"/>
  <c r="AY50" i="7" s="1"/>
  <c r="BC49" i="1"/>
  <c r="AQ49" i="14"/>
  <c r="BA49" i="14" s="1"/>
  <c r="AQ49" i="13"/>
  <c r="BA49" i="13" s="1"/>
  <c r="AQ49" i="11"/>
  <c r="BA49" i="11" s="1"/>
  <c r="AQ49" i="10"/>
  <c r="BA49" i="10" s="1"/>
  <c r="AQ49" i="12"/>
  <c r="BA49" i="12" s="1"/>
  <c r="AQ49" i="9"/>
  <c r="BA49" i="9" s="1"/>
  <c r="AQ49" i="8"/>
  <c r="BA49" i="8" s="1"/>
  <c r="AQ49" i="7"/>
  <c r="BA49" i="7" s="1"/>
  <c r="AQ49" i="2"/>
  <c r="BA49" i="2" s="1"/>
  <c r="AQ49" i="6"/>
  <c r="BA49" i="6" s="1"/>
  <c r="AQ49" i="5"/>
  <c r="BA49" i="5" s="1"/>
  <c r="AU49" i="1"/>
  <c r="AI49" i="14"/>
  <c r="AS49" i="14" s="1"/>
  <c r="AI49" i="13"/>
  <c r="AS49" i="13" s="1"/>
  <c r="AI49" i="12"/>
  <c r="AS49" i="12" s="1"/>
  <c r="AI49" i="11"/>
  <c r="AS49" i="11" s="1"/>
  <c r="AI49" i="10"/>
  <c r="AS49" i="10" s="1"/>
  <c r="AI49" i="9"/>
  <c r="AS49" i="9" s="1"/>
  <c r="AI49" i="8"/>
  <c r="AS49" i="8" s="1"/>
  <c r="AI49" i="7"/>
  <c r="AS49" i="7" s="1"/>
  <c r="AI49" i="2"/>
  <c r="AS49" i="2" s="1"/>
  <c r="AS49" i="6"/>
  <c r="AI49" i="5"/>
  <c r="AS49" i="5" s="1"/>
  <c r="AW48" i="1"/>
  <c r="AK48" i="14"/>
  <c r="AU48" i="14" s="1"/>
  <c r="AK48" i="13"/>
  <c r="AU48" i="13" s="1"/>
  <c r="AK48" i="12"/>
  <c r="AU48" i="12" s="1"/>
  <c r="AK48" i="11"/>
  <c r="AU48" i="11" s="1"/>
  <c r="AK48" i="10"/>
  <c r="AU48" i="10" s="1"/>
  <c r="AK48" i="9"/>
  <c r="AU48" i="9" s="1"/>
  <c r="AK48" i="7"/>
  <c r="AU48" i="7" s="1"/>
  <c r="AK48" i="2"/>
  <c r="AU48" i="2" s="1"/>
  <c r="AK48" i="5"/>
  <c r="AU48" i="5" s="1"/>
  <c r="AK48" i="8"/>
  <c r="AU48" i="8" s="1"/>
  <c r="AK48" i="6"/>
  <c r="AU48" i="6" s="1"/>
  <c r="AY47" i="1"/>
  <c r="AM47" i="14"/>
  <c r="AW47" i="14" s="1"/>
  <c r="AM47" i="13"/>
  <c r="AW47" i="13" s="1"/>
  <c r="AM47" i="11"/>
  <c r="AW47" i="11" s="1"/>
  <c r="AM47" i="10"/>
  <c r="AW47" i="10" s="1"/>
  <c r="AM47" i="9"/>
  <c r="AW47" i="9" s="1"/>
  <c r="AM47" i="12"/>
  <c r="AW47" i="12" s="1"/>
  <c r="AM47" i="8"/>
  <c r="AW47" i="8" s="1"/>
  <c r="AM47" i="7"/>
  <c r="AW47" i="7" s="1"/>
  <c r="AM47" i="2"/>
  <c r="AW47" i="2" s="1"/>
  <c r="AM47" i="6"/>
  <c r="AW47" i="6" s="1"/>
  <c r="AM47" i="5"/>
  <c r="AW47" i="5" s="1"/>
  <c r="BA46" i="1"/>
  <c r="AO46" i="14"/>
  <c r="AY46" i="14" s="1"/>
  <c r="AO46" i="12"/>
  <c r="AY46" i="12" s="1"/>
  <c r="AO46" i="13"/>
  <c r="AY46" i="13" s="1"/>
  <c r="AO46" i="10"/>
  <c r="AY46" i="10" s="1"/>
  <c r="AO46" i="11"/>
  <c r="AY46" i="11" s="1"/>
  <c r="AO46" i="8"/>
  <c r="AY46" i="8" s="1"/>
  <c r="AO46" i="9"/>
  <c r="AY46" i="9" s="1"/>
  <c r="AO46" i="7"/>
  <c r="AY46" i="7" s="1"/>
  <c r="AO46" i="2"/>
  <c r="AY46" i="2" s="1"/>
  <c r="AO46" i="6"/>
  <c r="AY46" i="6" s="1"/>
  <c r="AO46" i="5"/>
  <c r="AY46" i="5" s="1"/>
  <c r="AY45" i="1"/>
  <c r="AM45" i="14"/>
  <c r="AW45" i="14" s="1"/>
  <c r="AM45" i="13"/>
  <c r="AW45" i="13" s="1"/>
  <c r="AM45" i="11"/>
  <c r="AW45" i="11" s="1"/>
  <c r="AM45" i="10"/>
  <c r="AW45" i="10" s="1"/>
  <c r="AM45" i="9"/>
  <c r="AW45" i="9" s="1"/>
  <c r="AM45" i="12"/>
  <c r="AW45" i="12" s="1"/>
  <c r="AM45" i="8"/>
  <c r="AW45" i="8" s="1"/>
  <c r="AM45" i="2"/>
  <c r="AW45" i="2" s="1"/>
  <c r="AM45" i="6"/>
  <c r="AW45" i="6" s="1"/>
  <c r="AM45" i="5"/>
  <c r="AW45" i="5" s="1"/>
  <c r="AM45" i="7"/>
  <c r="AW45" i="7" s="1"/>
  <c r="BA44" i="1"/>
  <c r="AO44" i="14"/>
  <c r="AY44" i="14" s="1"/>
  <c r="AO44" i="13"/>
  <c r="AY44" i="13" s="1"/>
  <c r="AO44" i="12"/>
  <c r="AY44" i="12" s="1"/>
  <c r="AO44" i="10"/>
  <c r="AY44" i="10" s="1"/>
  <c r="AO44" i="11"/>
  <c r="AY44" i="11" s="1"/>
  <c r="AO44" i="7"/>
  <c r="AY44" i="7" s="1"/>
  <c r="AO44" i="9"/>
  <c r="AY44" i="9" s="1"/>
  <c r="AO44" i="8"/>
  <c r="AY44" i="8" s="1"/>
  <c r="AO44" i="2"/>
  <c r="AY44" i="2" s="1"/>
  <c r="AO44" i="5"/>
  <c r="AY44" i="5" s="1"/>
  <c r="AO44" i="6"/>
  <c r="AY44" i="6" s="1"/>
  <c r="BC79" i="1"/>
  <c r="AQ79" i="14"/>
  <c r="BA79" i="14" s="1"/>
  <c r="AQ79" i="13"/>
  <c r="BA79" i="13" s="1"/>
  <c r="AQ79" i="12"/>
  <c r="BA79" i="12" s="1"/>
  <c r="AQ79" i="11"/>
  <c r="BA79" i="11" s="1"/>
  <c r="AQ79" i="10"/>
  <c r="BA79" i="10" s="1"/>
  <c r="AQ79" i="9"/>
  <c r="BA79" i="9" s="1"/>
  <c r="AQ79" i="8"/>
  <c r="BA79" i="8" s="1"/>
  <c r="AQ79" i="7"/>
  <c r="BA79" i="7" s="1"/>
  <c r="AQ79" i="6"/>
  <c r="BA79" i="6" s="1"/>
  <c r="AQ79" i="5"/>
  <c r="BA79" i="5" s="1"/>
  <c r="AQ79" i="2"/>
  <c r="BA79" i="2" s="1"/>
  <c r="AU79" i="1"/>
  <c r="AI79" i="14"/>
  <c r="AS79" i="14" s="1"/>
  <c r="AI79" i="13"/>
  <c r="AS79" i="13" s="1"/>
  <c r="AI79" i="12"/>
  <c r="AS79" i="12" s="1"/>
  <c r="AI79" i="11"/>
  <c r="AS79" i="11" s="1"/>
  <c r="AI79" i="10"/>
  <c r="AS79" i="10" s="1"/>
  <c r="AI79" i="9"/>
  <c r="AS79" i="9" s="1"/>
  <c r="AI79" i="8"/>
  <c r="AS79" i="8" s="1"/>
  <c r="AI79" i="7"/>
  <c r="AS79" i="7" s="1"/>
  <c r="AS79" i="6"/>
  <c r="AI79" i="5"/>
  <c r="AS79" i="5" s="1"/>
  <c r="AI79" i="2"/>
  <c r="AS79" i="2" s="1"/>
  <c r="BC77" i="1"/>
  <c r="AQ77" i="14"/>
  <c r="BA77" i="14" s="1"/>
  <c r="AQ77" i="13"/>
  <c r="BA77" i="13" s="1"/>
  <c r="AQ77" i="12"/>
  <c r="BA77" i="12" s="1"/>
  <c r="AQ77" i="11"/>
  <c r="BA77" i="11" s="1"/>
  <c r="AQ77" i="10"/>
  <c r="BA77" i="10" s="1"/>
  <c r="AQ77" i="9"/>
  <c r="BA77" i="9" s="1"/>
  <c r="AQ77" i="8"/>
  <c r="BA77" i="8" s="1"/>
  <c r="AQ77" i="7"/>
  <c r="BA77" i="7" s="1"/>
  <c r="AQ77" i="6"/>
  <c r="BA77" i="6" s="1"/>
  <c r="AQ77" i="5"/>
  <c r="BA77" i="5" s="1"/>
  <c r="AQ77" i="2"/>
  <c r="BA77" i="2" s="1"/>
  <c r="AU77" i="1"/>
  <c r="AI77" i="14"/>
  <c r="AS77" i="14" s="1"/>
  <c r="AI77" i="13"/>
  <c r="AS77" i="13" s="1"/>
  <c r="AI77" i="12"/>
  <c r="AS77" i="12" s="1"/>
  <c r="AI77" i="11"/>
  <c r="AS77" i="11" s="1"/>
  <c r="AI77" i="10"/>
  <c r="AS77" i="10" s="1"/>
  <c r="AI77" i="9"/>
  <c r="AS77" i="9" s="1"/>
  <c r="AI77" i="8"/>
  <c r="AS77" i="8" s="1"/>
  <c r="AI77" i="7"/>
  <c r="AS77" i="7" s="1"/>
  <c r="AS77" i="6"/>
  <c r="AI77" i="5"/>
  <c r="AS77" i="5" s="1"/>
  <c r="AI77" i="2"/>
  <c r="AS77" i="2" s="1"/>
  <c r="AW76" i="1"/>
  <c r="AK76" i="14"/>
  <c r="AU76" i="14" s="1"/>
  <c r="AK76" i="13"/>
  <c r="AU76" i="13" s="1"/>
  <c r="AK76" i="12"/>
  <c r="AU76" i="12" s="1"/>
  <c r="AK76" i="11"/>
  <c r="AU76" i="11" s="1"/>
  <c r="AK76" i="10"/>
  <c r="AU76" i="10" s="1"/>
  <c r="AK76" i="9"/>
  <c r="AU76" i="9" s="1"/>
  <c r="AK76" i="7"/>
  <c r="AU76" i="7" s="1"/>
  <c r="AK76" i="8"/>
  <c r="AU76" i="8" s="1"/>
  <c r="AK76" i="6"/>
  <c r="AU76" i="6" s="1"/>
  <c r="AK76" i="5"/>
  <c r="AU76" i="5" s="1"/>
  <c r="AK76" i="2"/>
  <c r="AU76" i="2" s="1"/>
  <c r="AY75" i="1"/>
  <c r="AM75" i="14"/>
  <c r="AW75" i="14" s="1"/>
  <c r="AM75" i="12"/>
  <c r="AW75" i="12" s="1"/>
  <c r="AM75" i="13"/>
  <c r="AW75" i="13" s="1"/>
  <c r="AM75" i="11"/>
  <c r="AW75" i="11" s="1"/>
  <c r="AM75" i="10"/>
  <c r="AW75" i="10" s="1"/>
  <c r="AM75" i="9"/>
  <c r="AW75" i="9" s="1"/>
  <c r="AM75" i="8"/>
  <c r="AW75" i="8" s="1"/>
  <c r="AM75" i="7"/>
  <c r="AW75" i="7" s="1"/>
  <c r="AM75" i="6"/>
  <c r="AW75" i="6" s="1"/>
  <c r="AM75" i="5"/>
  <c r="AW75" i="5" s="1"/>
  <c r="AM75" i="2"/>
  <c r="AW75" i="2" s="1"/>
  <c r="BA74" i="1"/>
  <c r="AO74" i="14"/>
  <c r="AY74" i="14" s="1"/>
  <c r="AO74" i="13"/>
  <c r="AY74" i="13" s="1"/>
  <c r="AO74" i="12"/>
  <c r="AY74" i="12" s="1"/>
  <c r="AO74" i="11"/>
  <c r="AY74" i="11" s="1"/>
  <c r="AO74" i="10"/>
  <c r="AY74" i="10" s="1"/>
  <c r="AO74" i="9"/>
  <c r="AY74" i="9" s="1"/>
  <c r="AO74" i="7"/>
  <c r="AY74" i="7" s="1"/>
  <c r="AO74" i="8"/>
  <c r="AY74" i="8" s="1"/>
  <c r="AO74" i="6"/>
  <c r="AY74" i="6" s="1"/>
  <c r="AO74" i="5"/>
  <c r="AY74" i="5" s="1"/>
  <c r="AO74" i="2"/>
  <c r="AY74" i="2" s="1"/>
  <c r="BC73" i="1"/>
  <c r="AQ73" i="14"/>
  <c r="BA73" i="14" s="1"/>
  <c r="AQ73" i="13"/>
  <c r="BA73" i="13" s="1"/>
  <c r="AQ73" i="12"/>
  <c r="BA73" i="12" s="1"/>
  <c r="AQ73" i="11"/>
  <c r="BA73" i="11" s="1"/>
  <c r="AQ73" i="10"/>
  <c r="BA73" i="10" s="1"/>
  <c r="AQ73" i="9"/>
  <c r="BA73" i="9" s="1"/>
  <c r="AQ73" i="8"/>
  <c r="BA73" i="8" s="1"/>
  <c r="AQ73" i="7"/>
  <c r="BA73" i="7" s="1"/>
  <c r="AQ73" i="6"/>
  <c r="BA73" i="6" s="1"/>
  <c r="AQ73" i="5"/>
  <c r="BA73" i="5" s="1"/>
  <c r="AQ73" i="2"/>
  <c r="BA73" i="2" s="1"/>
  <c r="AU73" i="1"/>
  <c r="AI73" i="14"/>
  <c r="AS73" i="14" s="1"/>
  <c r="AI73" i="13"/>
  <c r="AS73" i="13" s="1"/>
  <c r="AI73" i="12"/>
  <c r="AS73" i="12" s="1"/>
  <c r="AI73" i="11"/>
  <c r="AS73" i="11" s="1"/>
  <c r="AI73" i="10"/>
  <c r="AS73" i="10" s="1"/>
  <c r="AI73" i="9"/>
  <c r="AS73" i="9" s="1"/>
  <c r="AI73" i="8"/>
  <c r="AS73" i="8" s="1"/>
  <c r="AI73" i="7"/>
  <c r="AS73" i="7" s="1"/>
  <c r="AS73" i="6"/>
  <c r="AI73" i="5"/>
  <c r="AS73" i="5" s="1"/>
  <c r="AI73" i="2"/>
  <c r="AS73" i="2" s="1"/>
  <c r="AW72" i="1"/>
  <c r="AK72" i="14"/>
  <c r="AU72" i="14" s="1"/>
  <c r="AK72" i="13"/>
  <c r="AU72" i="13" s="1"/>
  <c r="AK72" i="12"/>
  <c r="AU72" i="12" s="1"/>
  <c r="AK72" i="11"/>
  <c r="AU72" i="11" s="1"/>
  <c r="AK72" i="10"/>
  <c r="AU72" i="10" s="1"/>
  <c r="AK72" i="9"/>
  <c r="AU72" i="9" s="1"/>
  <c r="AK72" i="7"/>
  <c r="AU72" i="7" s="1"/>
  <c r="AK72" i="8"/>
  <c r="AU72" i="8" s="1"/>
  <c r="AK72" i="6"/>
  <c r="AU72" i="6" s="1"/>
  <c r="AK72" i="5"/>
  <c r="AU72" i="5" s="1"/>
  <c r="AK72" i="2"/>
  <c r="AU72" i="2" s="1"/>
  <c r="BB53" i="1"/>
  <c r="AP53" i="14"/>
  <c r="AZ53" i="14" s="1"/>
  <c r="AP53" i="13"/>
  <c r="AZ53" i="13" s="1"/>
  <c r="AP53" i="12"/>
  <c r="AZ53" i="12" s="1"/>
  <c r="AP53" i="11"/>
  <c r="AZ53" i="11" s="1"/>
  <c r="AP53" i="10"/>
  <c r="AZ53" i="10" s="1"/>
  <c r="AP53" i="9"/>
  <c r="AZ53" i="9" s="1"/>
  <c r="AP53" i="5"/>
  <c r="AZ53" i="5" s="1"/>
  <c r="AP53" i="7"/>
  <c r="AZ53" i="7" s="1"/>
  <c r="AP53" i="8"/>
  <c r="AZ53" i="8" s="1"/>
  <c r="AP53" i="6"/>
  <c r="AZ53" i="6" s="1"/>
  <c r="AP53" i="2"/>
  <c r="AZ53" i="2" s="1"/>
  <c r="AT53" i="1"/>
  <c r="AH53" i="14"/>
  <c r="AR53" i="14" s="1"/>
  <c r="AH53" i="13"/>
  <c r="AR53" i="13" s="1"/>
  <c r="AH53" i="12"/>
  <c r="AR53" i="12" s="1"/>
  <c r="AH53" i="11"/>
  <c r="AR53" i="11" s="1"/>
  <c r="AH53" i="10"/>
  <c r="AR53" i="10" s="1"/>
  <c r="AH53" i="9"/>
  <c r="AR53" i="9" s="1"/>
  <c r="AH53" i="8"/>
  <c r="AR53" i="8" s="1"/>
  <c r="AH53" i="5"/>
  <c r="AR53" i="5" s="1"/>
  <c r="AR53" i="6"/>
  <c r="AH53" i="7"/>
  <c r="AR53" i="7" s="1"/>
  <c r="AH53" i="2"/>
  <c r="AR53" i="2" s="1"/>
  <c r="AZ52" i="1"/>
  <c r="AN52" i="14"/>
  <c r="AX52" i="14" s="1"/>
  <c r="AN52" i="13"/>
  <c r="AX52" i="13" s="1"/>
  <c r="AN52" i="12"/>
  <c r="AX52" i="12" s="1"/>
  <c r="AN52" i="11"/>
  <c r="AX52" i="11" s="1"/>
  <c r="AN52" i="10"/>
  <c r="AX52" i="10" s="1"/>
  <c r="AN52" i="8"/>
  <c r="AX52" i="8" s="1"/>
  <c r="AN52" i="7"/>
  <c r="AX52" i="7" s="1"/>
  <c r="AN52" i="9"/>
  <c r="AX52" i="9" s="1"/>
  <c r="AN52" i="6"/>
  <c r="AX52" i="6" s="1"/>
  <c r="AN52" i="2"/>
  <c r="AX52" i="2" s="1"/>
  <c r="AN52" i="5"/>
  <c r="AX52" i="5" s="1"/>
  <c r="AV52" i="1"/>
  <c r="AJ52" i="14"/>
  <c r="AT52" i="14" s="1"/>
  <c r="AJ52" i="13"/>
  <c r="AT52" i="13" s="1"/>
  <c r="AJ52" i="12"/>
  <c r="AT52" i="12" s="1"/>
  <c r="AJ52" i="10"/>
  <c r="AT52" i="10" s="1"/>
  <c r="AJ52" i="11"/>
  <c r="AT52" i="11" s="1"/>
  <c r="AJ52" i="8"/>
  <c r="AT52" i="8" s="1"/>
  <c r="AJ52" i="9"/>
  <c r="AT52" i="9" s="1"/>
  <c r="AJ52" i="7"/>
  <c r="AT52" i="7" s="1"/>
  <c r="AJ52" i="6"/>
  <c r="AT52" i="6" s="1"/>
  <c r="AJ52" i="5"/>
  <c r="AT52" i="5" s="1"/>
  <c r="AJ52" i="2"/>
  <c r="AT52" i="2" s="1"/>
  <c r="BB51" i="1"/>
  <c r="AP51" i="14"/>
  <c r="AZ51" i="14" s="1"/>
  <c r="AP51" i="13"/>
  <c r="AZ51" i="13" s="1"/>
  <c r="AP51" i="12"/>
  <c r="AZ51" i="12" s="1"/>
  <c r="AP51" i="10"/>
  <c r="AZ51" i="10" s="1"/>
  <c r="AP51" i="11"/>
  <c r="AZ51" i="11" s="1"/>
  <c r="AP51" i="9"/>
  <c r="AZ51" i="9" s="1"/>
  <c r="AP51" i="8"/>
  <c r="AZ51" i="8" s="1"/>
  <c r="AP51" i="7"/>
  <c r="AZ51" i="7" s="1"/>
  <c r="AP51" i="5"/>
  <c r="AZ51" i="5" s="1"/>
  <c r="AP51" i="6"/>
  <c r="AZ51" i="6" s="1"/>
  <c r="AP51" i="2"/>
  <c r="AZ51" i="2" s="1"/>
  <c r="AX51" i="1"/>
  <c r="AL51" i="14"/>
  <c r="AV51" i="14" s="1"/>
  <c r="AL51" i="12"/>
  <c r="AV51" i="12" s="1"/>
  <c r="AL51" i="13"/>
  <c r="AV51" i="13" s="1"/>
  <c r="AL51" i="10"/>
  <c r="AV51" i="10" s="1"/>
  <c r="AL51" i="11"/>
  <c r="AV51" i="11" s="1"/>
  <c r="AL51" i="9"/>
  <c r="AV51" i="9" s="1"/>
  <c r="AL51" i="8"/>
  <c r="AV51" i="8" s="1"/>
  <c r="AL51" i="7"/>
  <c r="AV51" i="7" s="1"/>
  <c r="AL51" i="5"/>
  <c r="AV51" i="5" s="1"/>
  <c r="AL51" i="6"/>
  <c r="AV51" i="6" s="1"/>
  <c r="AL51" i="2"/>
  <c r="AV51" i="2" s="1"/>
  <c r="AT51" i="1"/>
  <c r="AH51" i="14"/>
  <c r="AR51" i="14" s="1"/>
  <c r="AH51" i="13"/>
  <c r="AR51" i="13" s="1"/>
  <c r="AH51" i="12"/>
  <c r="AR51" i="12" s="1"/>
  <c r="AH51" i="10"/>
  <c r="AR51" i="10" s="1"/>
  <c r="AH51" i="11"/>
  <c r="AR51" i="11" s="1"/>
  <c r="AH51" i="9"/>
  <c r="AR51" i="9" s="1"/>
  <c r="AH51" i="8"/>
  <c r="AR51" i="8" s="1"/>
  <c r="AH51" i="7"/>
  <c r="AR51" i="7" s="1"/>
  <c r="AH51" i="5"/>
  <c r="AR51" i="5" s="1"/>
  <c r="AR51" i="6"/>
  <c r="AH51" i="2"/>
  <c r="AR51" i="2" s="1"/>
  <c r="AZ50" i="1"/>
  <c r="AN50" i="14"/>
  <c r="AX50" i="14" s="1"/>
  <c r="AN50" i="13"/>
  <c r="AX50" i="13" s="1"/>
  <c r="AN50" i="12"/>
  <c r="AX50" i="12" s="1"/>
  <c r="AN50" i="10"/>
  <c r="AX50" i="10" s="1"/>
  <c r="AN50" i="11"/>
  <c r="AX50" i="11" s="1"/>
  <c r="AN50" i="7"/>
  <c r="AX50" i="7" s="1"/>
  <c r="AN50" i="8"/>
  <c r="AX50" i="8" s="1"/>
  <c r="AN50" i="9"/>
  <c r="AX50" i="9" s="1"/>
  <c r="AN50" i="6"/>
  <c r="AX50" i="6" s="1"/>
  <c r="AN50" i="2"/>
  <c r="AX50" i="2" s="1"/>
  <c r="AN50" i="5"/>
  <c r="AX50" i="5" s="1"/>
  <c r="AV50" i="1"/>
  <c r="AJ50" i="14"/>
  <c r="AT50" i="14" s="1"/>
  <c r="AJ50" i="13"/>
  <c r="AT50" i="13" s="1"/>
  <c r="AJ50" i="12"/>
  <c r="AT50" i="12" s="1"/>
  <c r="AJ50" i="10"/>
  <c r="AT50" i="10" s="1"/>
  <c r="AJ50" i="11"/>
  <c r="AT50" i="11" s="1"/>
  <c r="AJ50" i="7"/>
  <c r="AT50" i="7" s="1"/>
  <c r="AJ50" i="9"/>
  <c r="AT50" i="9" s="1"/>
  <c r="AJ50" i="8"/>
  <c r="AT50" i="8" s="1"/>
  <c r="AJ50" i="6"/>
  <c r="AT50" i="6" s="1"/>
  <c r="AJ50" i="5"/>
  <c r="AT50" i="5" s="1"/>
  <c r="AJ50" i="2"/>
  <c r="AT50" i="2" s="1"/>
  <c r="BB49" i="1"/>
  <c r="AP49" i="14"/>
  <c r="AZ49" i="14" s="1"/>
  <c r="AP49" i="13"/>
  <c r="AZ49" i="13" s="1"/>
  <c r="AP49" i="12"/>
  <c r="AZ49" i="12" s="1"/>
  <c r="AP49" i="11"/>
  <c r="AZ49" i="11" s="1"/>
  <c r="AP49" i="9"/>
  <c r="AZ49" i="9" s="1"/>
  <c r="AP49" i="5"/>
  <c r="AZ49" i="5" s="1"/>
  <c r="AP49" i="8"/>
  <c r="AZ49" i="8" s="1"/>
  <c r="AP49" i="10"/>
  <c r="AZ49" i="10" s="1"/>
  <c r="AP49" i="7"/>
  <c r="AZ49" i="7" s="1"/>
  <c r="AP49" i="2"/>
  <c r="AZ49" i="2" s="1"/>
  <c r="AP49" i="6"/>
  <c r="AZ49" i="6" s="1"/>
  <c r="AX49" i="1"/>
  <c r="AL49" i="13"/>
  <c r="AV49" i="13" s="1"/>
  <c r="AL49" i="14"/>
  <c r="AV49" i="14" s="1"/>
  <c r="AL49" i="12"/>
  <c r="AV49" i="12" s="1"/>
  <c r="AL49" i="11"/>
  <c r="AV49" i="11" s="1"/>
  <c r="AL49" i="10"/>
  <c r="AV49" i="10" s="1"/>
  <c r="AL49" i="9"/>
  <c r="AV49" i="9" s="1"/>
  <c r="AL49" i="5"/>
  <c r="AV49" i="5" s="1"/>
  <c r="AL49" i="8"/>
  <c r="AV49" i="8" s="1"/>
  <c r="AL49" i="7"/>
  <c r="AV49" i="7" s="1"/>
  <c r="AL49" i="6"/>
  <c r="AV49" i="6" s="1"/>
  <c r="AL49" i="2"/>
  <c r="AV49" i="2" s="1"/>
  <c r="AT49" i="1"/>
  <c r="AH49" i="14"/>
  <c r="AR49" i="14" s="1"/>
  <c r="AH49" i="13"/>
  <c r="AR49" i="13" s="1"/>
  <c r="AH49" i="12"/>
  <c r="AR49" i="12" s="1"/>
  <c r="AH49" i="11"/>
  <c r="AR49" i="11" s="1"/>
  <c r="AH49" i="9"/>
  <c r="AR49" i="9" s="1"/>
  <c r="AH49" i="10"/>
  <c r="AR49" i="10" s="1"/>
  <c r="AH49" i="7"/>
  <c r="AR49" i="7" s="1"/>
  <c r="AH49" i="5"/>
  <c r="AR49" i="5" s="1"/>
  <c r="AH49" i="8"/>
  <c r="AR49" i="8" s="1"/>
  <c r="AR49" i="6"/>
  <c r="AH49" i="2"/>
  <c r="AR49" i="2" s="1"/>
  <c r="AZ48" i="1"/>
  <c r="AN48" i="14"/>
  <c r="AX48" i="14" s="1"/>
  <c r="AN48" i="12"/>
  <c r="AX48" i="12" s="1"/>
  <c r="AN48" i="13"/>
  <c r="AX48" i="13" s="1"/>
  <c r="AN48" i="10"/>
  <c r="AX48" i="10" s="1"/>
  <c r="AN48" i="11"/>
  <c r="AX48" i="11" s="1"/>
  <c r="AN48" i="8"/>
  <c r="AX48" i="8" s="1"/>
  <c r="AN48" i="9"/>
  <c r="AX48" i="9" s="1"/>
  <c r="AN48" i="7"/>
  <c r="AX48" i="7" s="1"/>
  <c r="AN48" i="2"/>
  <c r="AX48" i="2" s="1"/>
  <c r="AN48" i="6"/>
  <c r="AX48" i="6" s="1"/>
  <c r="AN48" i="5"/>
  <c r="AX48" i="5" s="1"/>
  <c r="AV48" i="1"/>
  <c r="AJ48" i="14"/>
  <c r="AT48" i="14" s="1"/>
  <c r="AJ48" i="13"/>
  <c r="AT48" i="13" s="1"/>
  <c r="AJ48" i="12"/>
  <c r="AT48" i="12" s="1"/>
  <c r="AJ48" i="11"/>
  <c r="AT48" i="11" s="1"/>
  <c r="AJ48" i="10"/>
  <c r="AT48" i="10" s="1"/>
  <c r="AJ48" i="8"/>
  <c r="AT48" i="8" s="1"/>
  <c r="AJ48" i="9"/>
  <c r="AT48" i="9" s="1"/>
  <c r="AJ48" i="7"/>
  <c r="AT48" i="7" s="1"/>
  <c r="AJ48" i="6"/>
  <c r="AT48" i="6" s="1"/>
  <c r="AJ48" i="5"/>
  <c r="AT48" i="5" s="1"/>
  <c r="AJ48" i="2"/>
  <c r="AT48" i="2" s="1"/>
  <c r="BB47" i="1"/>
  <c r="AP47" i="14"/>
  <c r="AZ47" i="14" s="1"/>
  <c r="AP47" i="13"/>
  <c r="AZ47" i="13" s="1"/>
  <c r="AP47" i="12"/>
  <c r="AZ47" i="12" s="1"/>
  <c r="AP47" i="10"/>
  <c r="AZ47" i="10" s="1"/>
  <c r="AP47" i="11"/>
  <c r="AZ47" i="11" s="1"/>
  <c r="AP47" i="9"/>
  <c r="AZ47" i="9" s="1"/>
  <c r="AP47" i="8"/>
  <c r="AZ47" i="8" s="1"/>
  <c r="AP47" i="7"/>
  <c r="AZ47" i="7" s="1"/>
  <c r="AP47" i="5"/>
  <c r="AZ47" i="5" s="1"/>
  <c r="AP47" i="6"/>
  <c r="AZ47" i="6" s="1"/>
  <c r="AP47" i="2"/>
  <c r="AZ47" i="2" s="1"/>
  <c r="AX47" i="1"/>
  <c r="AL47" i="14"/>
  <c r="AV47" i="14" s="1"/>
  <c r="AL47" i="13"/>
  <c r="AV47" i="13" s="1"/>
  <c r="AL47" i="12"/>
  <c r="AV47" i="12" s="1"/>
  <c r="AL47" i="10"/>
  <c r="AV47" i="10" s="1"/>
  <c r="AL47" i="11"/>
  <c r="AV47" i="11" s="1"/>
  <c r="AL47" i="9"/>
  <c r="AV47" i="9" s="1"/>
  <c r="AL47" i="8"/>
  <c r="AV47" i="8" s="1"/>
  <c r="AL47" i="7"/>
  <c r="AV47" i="7" s="1"/>
  <c r="AL47" i="5"/>
  <c r="AV47" i="5" s="1"/>
  <c r="AL47" i="6"/>
  <c r="AV47" i="6" s="1"/>
  <c r="AL47" i="2"/>
  <c r="AV47" i="2" s="1"/>
  <c r="AT47" i="1"/>
  <c r="AH47" i="14"/>
  <c r="AR47" i="14" s="1"/>
  <c r="AH47" i="12"/>
  <c r="AR47" i="12" s="1"/>
  <c r="AH47" i="10"/>
  <c r="AR47" i="10" s="1"/>
  <c r="AH47" i="11"/>
  <c r="AR47" i="11" s="1"/>
  <c r="AH47" i="13"/>
  <c r="AR47" i="13" s="1"/>
  <c r="AH47" i="9"/>
  <c r="AR47" i="9" s="1"/>
  <c r="AH47" i="8"/>
  <c r="AR47" i="8" s="1"/>
  <c r="AH47" i="7"/>
  <c r="AR47" i="7" s="1"/>
  <c r="AH47" i="5"/>
  <c r="AR47" i="5" s="1"/>
  <c r="AR47" i="6"/>
  <c r="AH47" i="2"/>
  <c r="AR47" i="2" s="1"/>
  <c r="AZ46" i="1"/>
  <c r="AN46" i="14"/>
  <c r="AX46" i="14" s="1"/>
  <c r="AN46" i="13"/>
  <c r="AX46" i="13" s="1"/>
  <c r="AN46" i="12"/>
  <c r="AX46" i="12" s="1"/>
  <c r="AN46" i="10"/>
  <c r="AX46" i="10" s="1"/>
  <c r="AN46" i="11"/>
  <c r="AX46" i="11" s="1"/>
  <c r="AN46" i="7"/>
  <c r="AX46" i="7" s="1"/>
  <c r="AN46" i="8"/>
  <c r="AX46" i="8" s="1"/>
  <c r="AN46" i="9"/>
  <c r="AX46" i="9" s="1"/>
  <c r="AN46" i="6"/>
  <c r="AX46" i="6" s="1"/>
  <c r="AN46" i="2"/>
  <c r="AX46" i="2" s="1"/>
  <c r="AN46" i="5"/>
  <c r="AX46" i="5" s="1"/>
  <c r="AV46" i="1"/>
  <c r="AJ46" i="14"/>
  <c r="AT46" i="14" s="1"/>
  <c r="AJ46" i="13"/>
  <c r="AT46" i="13" s="1"/>
  <c r="AJ46" i="12"/>
  <c r="AT46" i="12" s="1"/>
  <c r="AJ46" i="10"/>
  <c r="AT46" i="10" s="1"/>
  <c r="AJ46" i="11"/>
  <c r="AT46" i="11" s="1"/>
  <c r="AJ46" i="7"/>
  <c r="AT46" i="7" s="1"/>
  <c r="AJ46" i="9"/>
  <c r="AT46" i="9" s="1"/>
  <c r="AJ46" i="8"/>
  <c r="AT46" i="8" s="1"/>
  <c r="AJ46" i="6"/>
  <c r="AT46" i="6" s="1"/>
  <c r="AJ46" i="5"/>
  <c r="AT46" i="5" s="1"/>
  <c r="AJ46" i="2"/>
  <c r="AT46" i="2" s="1"/>
  <c r="BB45" i="1"/>
  <c r="AP45" i="14"/>
  <c r="AZ45" i="14" s="1"/>
  <c r="AP45" i="13"/>
  <c r="AZ45" i="13" s="1"/>
  <c r="AP45" i="12"/>
  <c r="AZ45" i="12" s="1"/>
  <c r="AP45" i="11"/>
  <c r="AZ45" i="11" s="1"/>
  <c r="AP45" i="10"/>
  <c r="AZ45" i="10" s="1"/>
  <c r="AP45" i="9"/>
  <c r="AZ45" i="9" s="1"/>
  <c r="AP45" i="8"/>
  <c r="AZ45" i="8" s="1"/>
  <c r="AP45" i="6"/>
  <c r="AZ45" i="6" s="1"/>
  <c r="AP45" i="5"/>
  <c r="AZ45" i="5" s="1"/>
  <c r="AP45" i="7"/>
  <c r="AZ45" i="7" s="1"/>
  <c r="AP45" i="2"/>
  <c r="AZ45" i="2" s="1"/>
  <c r="AX45" i="1"/>
  <c r="AL45" i="13"/>
  <c r="AV45" i="13" s="1"/>
  <c r="AL45" i="14"/>
  <c r="AV45" i="14" s="1"/>
  <c r="AL45" i="12"/>
  <c r="AV45" i="12" s="1"/>
  <c r="AL45" i="11"/>
  <c r="AV45" i="11" s="1"/>
  <c r="AL45" i="9"/>
  <c r="AV45" i="9" s="1"/>
  <c r="AL45" i="10"/>
  <c r="AV45" i="10" s="1"/>
  <c r="AL45" i="7"/>
  <c r="AV45" i="7" s="1"/>
  <c r="AL45" i="6"/>
  <c r="AV45" i="6" s="1"/>
  <c r="AL45" i="5"/>
  <c r="AV45" i="5" s="1"/>
  <c r="AL45" i="8"/>
  <c r="AV45" i="8" s="1"/>
  <c r="AL45" i="2"/>
  <c r="AV45" i="2" s="1"/>
  <c r="AT45" i="1"/>
  <c r="AH45" i="14"/>
  <c r="AR45" i="14" s="1"/>
  <c r="AH45" i="13"/>
  <c r="AR45" i="13" s="1"/>
  <c r="AH45" i="12"/>
  <c r="AR45" i="12" s="1"/>
  <c r="AH45" i="11"/>
  <c r="AR45" i="11" s="1"/>
  <c r="AH45" i="9"/>
  <c r="AR45" i="9" s="1"/>
  <c r="AH45" i="10"/>
  <c r="AR45" i="10" s="1"/>
  <c r="AR45" i="6"/>
  <c r="AH45" i="5"/>
  <c r="AR45" i="5" s="1"/>
  <c r="AH45" i="8"/>
  <c r="AR45" i="8" s="1"/>
  <c r="AH45" i="7"/>
  <c r="AR45" i="7" s="1"/>
  <c r="AH45" i="2"/>
  <c r="AR45" i="2" s="1"/>
  <c r="AZ44" i="1"/>
  <c r="AN44" i="14"/>
  <c r="AX44" i="14" s="1"/>
  <c r="AN44" i="13"/>
  <c r="AX44" i="13" s="1"/>
  <c r="AN44" i="12"/>
  <c r="AX44" i="12" s="1"/>
  <c r="AN44" i="11"/>
  <c r="AX44" i="11" s="1"/>
  <c r="AN44" i="8"/>
  <c r="AX44" i="8" s="1"/>
  <c r="AN44" i="10"/>
  <c r="AX44" i="10" s="1"/>
  <c r="AN44" i="6"/>
  <c r="AX44" i="6" s="1"/>
  <c r="AN44" i="9"/>
  <c r="AX44" i="9" s="1"/>
  <c r="AN44" i="7"/>
  <c r="AX44" i="7" s="1"/>
  <c r="AN44" i="2"/>
  <c r="AX44" i="2" s="1"/>
  <c r="AN44" i="5"/>
  <c r="AX44" i="5" s="1"/>
  <c r="AV44" i="1"/>
  <c r="AJ44" i="14"/>
  <c r="AT44" i="14" s="1"/>
  <c r="AJ44" i="12"/>
  <c r="AT44" i="12" s="1"/>
  <c r="AJ44" i="13"/>
  <c r="AT44" i="13" s="1"/>
  <c r="AJ44" i="11"/>
  <c r="AT44" i="11" s="1"/>
  <c r="AJ44" i="8"/>
  <c r="AT44" i="8" s="1"/>
  <c r="AJ44" i="9"/>
  <c r="AT44" i="9" s="1"/>
  <c r="AJ44" i="6"/>
  <c r="AT44" i="6" s="1"/>
  <c r="AJ44" i="10"/>
  <c r="AT44" i="10" s="1"/>
  <c r="AJ44" i="7"/>
  <c r="AT44" i="7" s="1"/>
  <c r="AJ44" i="5"/>
  <c r="AT44" i="5" s="1"/>
  <c r="AJ44" i="2"/>
  <c r="AT44" i="2" s="1"/>
  <c r="BB79" i="1"/>
  <c r="AP79" i="14"/>
  <c r="AZ79" i="14" s="1"/>
  <c r="AP79" i="13"/>
  <c r="AZ79" i="13" s="1"/>
  <c r="AP79" i="12"/>
  <c r="AZ79" i="12" s="1"/>
  <c r="AP79" i="10"/>
  <c r="AZ79" i="10" s="1"/>
  <c r="AP79" i="11"/>
  <c r="AZ79" i="11" s="1"/>
  <c r="AP79" i="9"/>
  <c r="AZ79" i="9" s="1"/>
  <c r="AP79" i="6"/>
  <c r="AZ79" i="6" s="1"/>
  <c r="AP79" i="5"/>
  <c r="AZ79" i="5" s="1"/>
  <c r="AP79" i="8"/>
  <c r="AZ79" i="8" s="1"/>
  <c r="AP79" i="7"/>
  <c r="AZ79" i="7" s="1"/>
  <c r="AP79" i="2"/>
  <c r="AZ79" i="2" s="1"/>
  <c r="AX79" i="1"/>
  <c r="AL79" i="14"/>
  <c r="AV79" i="14" s="1"/>
  <c r="AL79" i="13"/>
  <c r="AV79" i="13" s="1"/>
  <c r="AL79" i="12"/>
  <c r="AV79" i="12" s="1"/>
  <c r="AL79" i="10"/>
  <c r="AV79" i="10" s="1"/>
  <c r="AL79" i="11"/>
  <c r="AV79" i="11" s="1"/>
  <c r="AL79" i="9"/>
  <c r="AV79" i="9" s="1"/>
  <c r="AL79" i="6"/>
  <c r="AV79" i="6" s="1"/>
  <c r="AL79" i="5"/>
  <c r="AV79" i="5" s="1"/>
  <c r="AL79" i="7"/>
  <c r="AV79" i="7" s="1"/>
  <c r="AL79" i="2"/>
  <c r="AV79" i="2" s="1"/>
  <c r="AL79" i="8"/>
  <c r="AV79" i="8" s="1"/>
  <c r="AT79" i="1"/>
  <c r="AH79" i="14"/>
  <c r="AR79" i="14" s="1"/>
  <c r="AH79" i="12"/>
  <c r="AR79" i="12" s="1"/>
  <c r="AH79" i="13"/>
  <c r="AR79" i="13" s="1"/>
  <c r="AH79" i="10"/>
  <c r="AR79" i="10" s="1"/>
  <c r="AH79" i="11"/>
  <c r="AR79" i="11" s="1"/>
  <c r="AH79" i="9"/>
  <c r="AR79" i="9" s="1"/>
  <c r="AH79" i="8"/>
  <c r="AR79" i="8" s="1"/>
  <c r="AH79" i="7"/>
  <c r="AR79" i="7" s="1"/>
  <c r="AR79" i="6"/>
  <c r="AH79" i="5"/>
  <c r="AR79" i="5" s="1"/>
  <c r="AH79" i="2"/>
  <c r="AR79" i="2" s="1"/>
  <c r="AZ78" i="1"/>
  <c r="AN78" i="14"/>
  <c r="AX78" i="14" s="1"/>
  <c r="AN78" i="10"/>
  <c r="AX78" i="10" s="1"/>
  <c r="AN78" i="12"/>
  <c r="AX78" i="12" s="1"/>
  <c r="AN78" i="13"/>
  <c r="AX78" i="13" s="1"/>
  <c r="AN78" i="11"/>
  <c r="AX78" i="11" s="1"/>
  <c r="AN78" i="9"/>
  <c r="AX78" i="9" s="1"/>
  <c r="AN78" i="7"/>
  <c r="AX78" i="7" s="1"/>
  <c r="AN78" i="6"/>
  <c r="AX78" i="6" s="1"/>
  <c r="AN78" i="5"/>
  <c r="AX78" i="5" s="1"/>
  <c r="AN78" i="8"/>
  <c r="AX78" i="8" s="1"/>
  <c r="AN78" i="2"/>
  <c r="AX78" i="2" s="1"/>
  <c r="AV78" i="1"/>
  <c r="AJ78" i="14"/>
  <c r="AT78" i="14" s="1"/>
  <c r="AJ78" i="13"/>
  <c r="AT78" i="13" s="1"/>
  <c r="AJ78" i="10"/>
  <c r="AT78" i="10" s="1"/>
  <c r="AJ78" i="12"/>
  <c r="AT78" i="12" s="1"/>
  <c r="AJ78" i="11"/>
  <c r="AT78" i="11" s="1"/>
  <c r="AJ78" i="7"/>
  <c r="AT78" i="7" s="1"/>
  <c r="AJ78" i="6"/>
  <c r="AT78" i="6" s="1"/>
  <c r="AJ78" i="5"/>
  <c r="AT78" i="5" s="1"/>
  <c r="AJ78" i="9"/>
  <c r="AT78" i="9" s="1"/>
  <c r="AJ78" i="2"/>
  <c r="AT78" i="2" s="1"/>
  <c r="AJ78" i="8"/>
  <c r="AT78" i="8" s="1"/>
  <c r="BB77" i="1"/>
  <c r="AP77" i="14"/>
  <c r="AZ77" i="14" s="1"/>
  <c r="AP77" i="13"/>
  <c r="AZ77" i="13" s="1"/>
  <c r="AP77" i="12"/>
  <c r="AZ77" i="12" s="1"/>
  <c r="AP77" i="10"/>
  <c r="AZ77" i="10" s="1"/>
  <c r="AP77" i="11"/>
  <c r="AZ77" i="11" s="1"/>
  <c r="AP77" i="9"/>
  <c r="AZ77" i="9" s="1"/>
  <c r="AP77" i="7"/>
  <c r="AZ77" i="7" s="1"/>
  <c r="AP77" i="8"/>
  <c r="AZ77" i="8" s="1"/>
  <c r="AP77" i="6"/>
  <c r="AZ77" i="6" s="1"/>
  <c r="AP77" i="5"/>
  <c r="AZ77" i="5" s="1"/>
  <c r="AP77" i="2"/>
  <c r="AZ77" i="2" s="1"/>
  <c r="AX77" i="1"/>
  <c r="AL77" i="14"/>
  <c r="AV77" i="14" s="1"/>
  <c r="AL77" i="13"/>
  <c r="AV77" i="13" s="1"/>
  <c r="AL77" i="12"/>
  <c r="AV77" i="12" s="1"/>
  <c r="AL77" i="10"/>
  <c r="AV77" i="10" s="1"/>
  <c r="AL77" i="11"/>
  <c r="AV77" i="11" s="1"/>
  <c r="AL77" i="9"/>
  <c r="AV77" i="9" s="1"/>
  <c r="AL77" i="7"/>
  <c r="AV77" i="7" s="1"/>
  <c r="AL77" i="6"/>
  <c r="AV77" i="6" s="1"/>
  <c r="AL77" i="8"/>
  <c r="AV77" i="8" s="1"/>
  <c r="AL77" i="5"/>
  <c r="AV77" i="5" s="1"/>
  <c r="AL77" i="2"/>
  <c r="AV77" i="2" s="1"/>
  <c r="AT77" i="1"/>
  <c r="AH77" i="14"/>
  <c r="AR77" i="14" s="1"/>
  <c r="AH77" i="13"/>
  <c r="AR77" i="13" s="1"/>
  <c r="AH77" i="12"/>
  <c r="AR77" i="12" s="1"/>
  <c r="AH77" i="10"/>
  <c r="AR77" i="10" s="1"/>
  <c r="AH77" i="11"/>
  <c r="AR77" i="11" s="1"/>
  <c r="AH77" i="9"/>
  <c r="AR77" i="9" s="1"/>
  <c r="AR77" i="6"/>
  <c r="AH77" i="7"/>
  <c r="AR77" i="7" s="1"/>
  <c r="AH77" i="5"/>
  <c r="AR77" i="5" s="1"/>
  <c r="AH77" i="8"/>
  <c r="AR77" i="8" s="1"/>
  <c r="AH77" i="2"/>
  <c r="AR77" i="2" s="1"/>
  <c r="AZ76" i="1"/>
  <c r="AN76" i="14"/>
  <c r="AX76" i="14" s="1"/>
  <c r="AN76" i="13"/>
  <c r="AX76" i="13" s="1"/>
  <c r="AN76" i="12"/>
  <c r="AX76" i="12" s="1"/>
  <c r="AN76" i="10"/>
  <c r="AX76" i="10" s="1"/>
  <c r="AN76" i="11"/>
  <c r="AX76" i="11" s="1"/>
  <c r="AN76" i="7"/>
  <c r="AX76" i="7" s="1"/>
  <c r="AN76" i="8"/>
  <c r="AX76" i="8" s="1"/>
  <c r="AN76" i="6"/>
  <c r="AX76" i="6" s="1"/>
  <c r="AN76" i="5"/>
  <c r="AX76" i="5" s="1"/>
  <c r="AN76" i="9"/>
  <c r="AX76" i="9" s="1"/>
  <c r="AN76" i="2"/>
  <c r="AX76" i="2" s="1"/>
  <c r="AV76" i="1"/>
  <c r="AJ76" i="14"/>
  <c r="AT76" i="14" s="1"/>
  <c r="AJ76" i="13"/>
  <c r="AT76" i="13" s="1"/>
  <c r="AJ76" i="12"/>
  <c r="AT76" i="12" s="1"/>
  <c r="AJ76" i="10"/>
  <c r="AT76" i="10" s="1"/>
  <c r="AJ76" i="11"/>
  <c r="AT76" i="11" s="1"/>
  <c r="AJ76" i="9"/>
  <c r="AT76" i="9" s="1"/>
  <c r="AJ76" i="7"/>
  <c r="AT76" i="7" s="1"/>
  <c r="AJ76" i="6"/>
  <c r="AT76" i="6" s="1"/>
  <c r="AJ76" i="5"/>
  <c r="AT76" i="5" s="1"/>
  <c r="AJ76" i="8"/>
  <c r="AT76" i="8" s="1"/>
  <c r="AJ76" i="2"/>
  <c r="AT76" i="2" s="1"/>
  <c r="BB75" i="1"/>
  <c r="AP75" i="14"/>
  <c r="AZ75" i="14" s="1"/>
  <c r="AP75" i="13"/>
  <c r="AZ75" i="13" s="1"/>
  <c r="AP75" i="12"/>
  <c r="AZ75" i="12" s="1"/>
  <c r="AP75" i="10"/>
  <c r="AZ75" i="10" s="1"/>
  <c r="AP75" i="11"/>
  <c r="AZ75" i="11" s="1"/>
  <c r="AP75" i="9"/>
  <c r="AZ75" i="9" s="1"/>
  <c r="AP75" i="8"/>
  <c r="AZ75" i="8" s="1"/>
  <c r="AP75" i="5"/>
  <c r="AZ75" i="5" s="1"/>
  <c r="AP75" i="6"/>
  <c r="AZ75" i="6" s="1"/>
  <c r="AP75" i="7"/>
  <c r="AZ75" i="7" s="1"/>
  <c r="AP75" i="2"/>
  <c r="AZ75" i="2" s="1"/>
  <c r="AX75" i="1"/>
  <c r="AL75" i="14"/>
  <c r="AV75" i="14" s="1"/>
  <c r="AL75" i="13"/>
  <c r="AV75" i="13" s="1"/>
  <c r="AL75" i="12"/>
  <c r="AV75" i="12" s="1"/>
  <c r="AL75" i="10"/>
  <c r="AV75" i="10" s="1"/>
  <c r="AL75" i="11"/>
  <c r="AV75" i="11" s="1"/>
  <c r="AL75" i="9"/>
  <c r="AV75" i="9" s="1"/>
  <c r="AL75" i="5"/>
  <c r="AV75" i="5" s="1"/>
  <c r="AL75" i="8"/>
  <c r="AV75" i="8" s="1"/>
  <c r="AL75" i="6"/>
  <c r="AV75" i="6" s="1"/>
  <c r="AL75" i="7"/>
  <c r="AV75" i="7" s="1"/>
  <c r="AL75" i="2"/>
  <c r="AV75" i="2" s="1"/>
  <c r="AT75" i="1"/>
  <c r="AH75" i="14"/>
  <c r="AR75" i="14" s="1"/>
  <c r="AH75" i="12"/>
  <c r="AR75" i="12" s="1"/>
  <c r="AH75" i="10"/>
  <c r="AR75" i="10" s="1"/>
  <c r="AH75" i="13"/>
  <c r="AR75" i="13" s="1"/>
  <c r="AH75" i="11"/>
  <c r="AR75" i="11" s="1"/>
  <c r="AH75" i="9"/>
  <c r="AR75" i="9" s="1"/>
  <c r="AH75" i="7"/>
  <c r="AR75" i="7" s="1"/>
  <c r="AH75" i="5"/>
  <c r="AR75" i="5" s="1"/>
  <c r="AR75" i="6"/>
  <c r="AH75" i="8"/>
  <c r="AR75" i="8" s="1"/>
  <c r="AH75" i="2"/>
  <c r="AR75" i="2" s="1"/>
  <c r="AZ74" i="1"/>
  <c r="AN74" i="14"/>
  <c r="AX74" i="14" s="1"/>
  <c r="AN74" i="13"/>
  <c r="AX74" i="13" s="1"/>
  <c r="AN74" i="12"/>
  <c r="AX74" i="12" s="1"/>
  <c r="AN74" i="10"/>
  <c r="AX74" i="10" s="1"/>
  <c r="AN74" i="11"/>
  <c r="AX74" i="11" s="1"/>
  <c r="AN74" i="9"/>
  <c r="AX74" i="9" s="1"/>
  <c r="AN74" i="7"/>
  <c r="AX74" i="7" s="1"/>
  <c r="AN74" i="8"/>
  <c r="AX74" i="8" s="1"/>
  <c r="AN74" i="5"/>
  <c r="AX74" i="5" s="1"/>
  <c r="AN74" i="6"/>
  <c r="AX74" i="6" s="1"/>
  <c r="AN74" i="2"/>
  <c r="AX74" i="2" s="1"/>
  <c r="AV74" i="1"/>
  <c r="AJ74" i="14"/>
  <c r="AT74" i="14" s="1"/>
  <c r="AJ74" i="13"/>
  <c r="AT74" i="13" s="1"/>
  <c r="AJ74" i="12"/>
  <c r="AT74" i="12" s="1"/>
  <c r="AJ74" i="10"/>
  <c r="AT74" i="10" s="1"/>
  <c r="AJ74" i="11"/>
  <c r="AT74" i="11" s="1"/>
  <c r="AJ74" i="7"/>
  <c r="AT74" i="7" s="1"/>
  <c r="AJ74" i="5"/>
  <c r="AT74" i="5" s="1"/>
  <c r="AJ74" i="8"/>
  <c r="AT74" i="8" s="1"/>
  <c r="AJ74" i="6"/>
  <c r="AT74" i="6" s="1"/>
  <c r="AJ74" i="9"/>
  <c r="AT74" i="9" s="1"/>
  <c r="AJ74" i="2"/>
  <c r="AT74" i="2" s="1"/>
  <c r="BB73" i="1"/>
  <c r="AP73" i="14"/>
  <c r="AZ73" i="14" s="1"/>
  <c r="AP73" i="12"/>
  <c r="AZ73" i="12" s="1"/>
  <c r="AP73" i="13"/>
  <c r="AZ73" i="13" s="1"/>
  <c r="AP73" i="10"/>
  <c r="AZ73" i="10" s="1"/>
  <c r="AP73" i="11"/>
  <c r="AZ73" i="11" s="1"/>
  <c r="AP73" i="7"/>
  <c r="AZ73" i="7" s="1"/>
  <c r="AP73" i="6"/>
  <c r="AZ73" i="6" s="1"/>
  <c r="AP73" i="5"/>
  <c r="AZ73" i="5" s="1"/>
  <c r="AP73" i="2"/>
  <c r="AZ73" i="2" s="1"/>
  <c r="AP73" i="9"/>
  <c r="AZ73" i="9" s="1"/>
  <c r="AP73" i="8"/>
  <c r="AZ73" i="8" s="1"/>
  <c r="AX73" i="1"/>
  <c r="AL73" i="14"/>
  <c r="AV73" i="14" s="1"/>
  <c r="AL73" i="13"/>
  <c r="AV73" i="13" s="1"/>
  <c r="AL73" i="12"/>
  <c r="AV73" i="12" s="1"/>
  <c r="AL73" i="10"/>
  <c r="AV73" i="10" s="1"/>
  <c r="AL73" i="11"/>
  <c r="AV73" i="11" s="1"/>
  <c r="AL73" i="9"/>
  <c r="AV73" i="9" s="1"/>
  <c r="AL73" i="8"/>
  <c r="AV73" i="8" s="1"/>
  <c r="AL73" i="7"/>
  <c r="AV73" i="7" s="1"/>
  <c r="AL73" i="6"/>
  <c r="AV73" i="6" s="1"/>
  <c r="AL73" i="5"/>
  <c r="AV73" i="5" s="1"/>
  <c r="AL73" i="2"/>
  <c r="AV73" i="2" s="1"/>
  <c r="AT73" i="1"/>
  <c r="AH73" i="14"/>
  <c r="AR73" i="14" s="1"/>
  <c r="AH73" i="13"/>
  <c r="AR73" i="13" s="1"/>
  <c r="AH73" i="12"/>
  <c r="AR73" i="12" s="1"/>
  <c r="AH73" i="10"/>
  <c r="AR73" i="10" s="1"/>
  <c r="AH73" i="11"/>
  <c r="AR73" i="11" s="1"/>
  <c r="AH73" i="9"/>
  <c r="AR73" i="9" s="1"/>
  <c r="AH73" i="8"/>
  <c r="AR73" i="8" s="1"/>
  <c r="AR73" i="6"/>
  <c r="AH73" i="5"/>
  <c r="AR73" i="5" s="1"/>
  <c r="AH73" i="7"/>
  <c r="AR73" i="7" s="1"/>
  <c r="AH73" i="2"/>
  <c r="AR73" i="2" s="1"/>
  <c r="AZ72" i="1"/>
  <c r="AN72" i="14"/>
  <c r="AX72" i="14" s="1"/>
  <c r="AN72" i="13"/>
  <c r="AX72" i="13" s="1"/>
  <c r="AN72" i="12"/>
  <c r="AX72" i="12" s="1"/>
  <c r="AN72" i="10"/>
  <c r="AX72" i="10" s="1"/>
  <c r="AN72" i="7"/>
  <c r="AX72" i="7" s="1"/>
  <c r="AN72" i="11"/>
  <c r="AX72" i="11" s="1"/>
  <c r="AN72" i="5"/>
  <c r="AX72" i="5" s="1"/>
  <c r="AN72" i="9"/>
  <c r="AX72" i="9" s="1"/>
  <c r="AN72" i="6"/>
  <c r="AX72" i="6" s="1"/>
  <c r="AN72" i="8"/>
  <c r="AX72" i="8" s="1"/>
  <c r="AN72" i="2"/>
  <c r="AX72" i="2" s="1"/>
  <c r="AV72" i="1"/>
  <c r="AJ72" i="14"/>
  <c r="AT72" i="14" s="1"/>
  <c r="AJ72" i="13"/>
  <c r="AT72" i="13" s="1"/>
  <c r="AJ72" i="12"/>
  <c r="AT72" i="12" s="1"/>
  <c r="AJ72" i="10"/>
  <c r="AT72" i="10" s="1"/>
  <c r="AJ72" i="11"/>
  <c r="AT72" i="11" s="1"/>
  <c r="AJ72" i="9"/>
  <c r="AT72" i="9" s="1"/>
  <c r="AJ72" i="7"/>
  <c r="AT72" i="7" s="1"/>
  <c r="AJ72" i="8"/>
  <c r="AT72" i="8" s="1"/>
  <c r="AJ72" i="5"/>
  <c r="AT72" i="5" s="1"/>
  <c r="AJ72" i="6"/>
  <c r="AT72" i="6" s="1"/>
  <c r="AJ72" i="2"/>
  <c r="AT72" i="2" s="1"/>
  <c r="AT43" i="1"/>
  <c r="AH43" i="14"/>
  <c r="AR43" i="14" s="1"/>
  <c r="AH43" i="13"/>
  <c r="AR43" i="13" s="1"/>
  <c r="AH43" i="12"/>
  <c r="AR43" i="12" s="1"/>
  <c r="AH43" i="11"/>
  <c r="AR43" i="11" s="1"/>
  <c r="AH43" i="10"/>
  <c r="AR43" i="10" s="1"/>
  <c r="AH43" i="9"/>
  <c r="AR43" i="9" s="1"/>
  <c r="AH43" i="8"/>
  <c r="AR43" i="8" s="1"/>
  <c r="AH43" i="5"/>
  <c r="AR43" i="5" s="1"/>
  <c r="AH43" i="7"/>
  <c r="AR43" i="7" s="1"/>
  <c r="AR43" i="6"/>
  <c r="AH43" i="2"/>
  <c r="AR43" i="2" s="1"/>
  <c r="AV53" i="1"/>
  <c r="AJ53" i="14"/>
  <c r="AT53" i="14" s="1"/>
  <c r="AJ53" i="13"/>
  <c r="AT53" i="13" s="1"/>
  <c r="AJ53" i="12"/>
  <c r="AT53" i="12" s="1"/>
  <c r="AJ53" i="10"/>
  <c r="AT53" i="10" s="1"/>
  <c r="AJ53" i="11"/>
  <c r="AT53" i="11" s="1"/>
  <c r="AJ53" i="9"/>
  <c r="AT53" i="9" s="1"/>
  <c r="AJ53" i="8"/>
  <c r="AT53" i="8" s="1"/>
  <c r="AJ53" i="7"/>
  <c r="AT53" i="7" s="1"/>
  <c r="AJ53" i="6"/>
  <c r="AT53" i="6" s="1"/>
  <c r="AJ53" i="2"/>
  <c r="AT53" i="2" s="1"/>
  <c r="AJ53" i="5"/>
  <c r="AT53" i="5" s="1"/>
  <c r="AX52" i="1"/>
  <c r="AL52" i="14"/>
  <c r="AV52" i="14" s="1"/>
  <c r="AL52" i="13"/>
  <c r="AV52" i="13" s="1"/>
  <c r="AL52" i="12"/>
  <c r="AV52" i="12" s="1"/>
  <c r="AL52" i="11"/>
  <c r="AV52" i="11" s="1"/>
  <c r="AL52" i="10"/>
  <c r="AV52" i="10" s="1"/>
  <c r="AL52" i="9"/>
  <c r="AV52" i="9" s="1"/>
  <c r="AL52" i="7"/>
  <c r="AV52" i="7" s="1"/>
  <c r="AL52" i="8"/>
  <c r="AV52" i="8" s="1"/>
  <c r="AL52" i="6"/>
  <c r="AV52" i="6" s="1"/>
  <c r="AL52" i="5"/>
  <c r="AV52" i="5" s="1"/>
  <c r="AL52" i="2"/>
  <c r="AV52" i="2" s="1"/>
  <c r="AZ51" i="1"/>
  <c r="AN51" i="14"/>
  <c r="AX51" i="14" s="1"/>
  <c r="AN51" i="13"/>
  <c r="AX51" i="13" s="1"/>
  <c r="AN51" i="12"/>
  <c r="AX51" i="12" s="1"/>
  <c r="AN51" i="11"/>
  <c r="AX51" i="11" s="1"/>
  <c r="AN51" i="10"/>
  <c r="AX51" i="10" s="1"/>
  <c r="AN51" i="7"/>
  <c r="AX51" i="7" s="1"/>
  <c r="AN51" i="2"/>
  <c r="AX51" i="2" s="1"/>
  <c r="AN51" i="8"/>
  <c r="AX51" i="8" s="1"/>
  <c r="AN51" i="9"/>
  <c r="AX51" i="9" s="1"/>
  <c r="AN51" i="6"/>
  <c r="AX51" i="6" s="1"/>
  <c r="AN51" i="5"/>
  <c r="AX51" i="5" s="1"/>
  <c r="BB50" i="1"/>
  <c r="AP50" i="14"/>
  <c r="AZ50" i="14" s="1"/>
  <c r="AP50" i="12"/>
  <c r="AZ50" i="12" s="1"/>
  <c r="AP50" i="13"/>
  <c r="AZ50" i="13" s="1"/>
  <c r="AP50" i="11"/>
  <c r="AZ50" i="11" s="1"/>
  <c r="AP50" i="10"/>
  <c r="AZ50" i="10" s="1"/>
  <c r="AP50" i="9"/>
  <c r="AZ50" i="9" s="1"/>
  <c r="AP50" i="8"/>
  <c r="AZ50" i="8" s="1"/>
  <c r="AP50" i="7"/>
  <c r="AZ50" i="7" s="1"/>
  <c r="AP50" i="5"/>
  <c r="AZ50" i="5" s="1"/>
  <c r="AP50" i="2"/>
  <c r="AZ50" i="2" s="1"/>
  <c r="AP50" i="6"/>
  <c r="AZ50" i="6" s="1"/>
  <c r="AT50" i="1"/>
  <c r="AH50" i="14"/>
  <c r="AR50" i="14" s="1"/>
  <c r="AH50" i="12"/>
  <c r="AR50" i="12" s="1"/>
  <c r="AH50" i="13"/>
  <c r="AR50" i="13" s="1"/>
  <c r="AH50" i="11"/>
  <c r="AR50" i="11" s="1"/>
  <c r="AH50" i="10"/>
  <c r="AR50" i="10" s="1"/>
  <c r="AH50" i="9"/>
  <c r="AR50" i="9" s="1"/>
  <c r="AH50" i="8"/>
  <c r="AR50" i="8" s="1"/>
  <c r="AH50" i="7"/>
  <c r="AR50" i="7" s="1"/>
  <c r="AH50" i="5"/>
  <c r="AR50" i="5" s="1"/>
  <c r="AH50" i="2"/>
  <c r="AR50" i="2" s="1"/>
  <c r="AR50" i="6"/>
  <c r="AV49" i="1"/>
  <c r="AJ49" i="14"/>
  <c r="AT49" i="14" s="1"/>
  <c r="AJ49" i="12"/>
  <c r="AT49" i="12" s="1"/>
  <c r="AJ49" i="10"/>
  <c r="AT49" i="10" s="1"/>
  <c r="AJ49" i="13"/>
  <c r="AT49" i="13" s="1"/>
  <c r="AJ49" i="11"/>
  <c r="AT49" i="11" s="1"/>
  <c r="AJ49" i="9"/>
  <c r="AT49" i="9" s="1"/>
  <c r="AJ49" i="8"/>
  <c r="AT49" i="8" s="1"/>
  <c r="AJ49" i="7"/>
  <c r="AT49" i="7" s="1"/>
  <c r="AJ49" i="6"/>
  <c r="AT49" i="6" s="1"/>
  <c r="AJ49" i="2"/>
  <c r="AT49" i="2" s="1"/>
  <c r="AJ49" i="5"/>
  <c r="AT49" i="5" s="1"/>
  <c r="AX48" i="1"/>
  <c r="AL48" i="14"/>
  <c r="AV48" i="14" s="1"/>
  <c r="AL48" i="13"/>
  <c r="AV48" i="13" s="1"/>
  <c r="AL48" i="12"/>
  <c r="AV48" i="12" s="1"/>
  <c r="AL48" i="11"/>
  <c r="AV48" i="11" s="1"/>
  <c r="AL48" i="10"/>
  <c r="AV48" i="10" s="1"/>
  <c r="AL48" i="9"/>
  <c r="AV48" i="9" s="1"/>
  <c r="AL48" i="7"/>
  <c r="AV48" i="7" s="1"/>
  <c r="AL48" i="8"/>
  <c r="AV48" i="8" s="1"/>
  <c r="AL48" i="5"/>
  <c r="AV48" i="5" s="1"/>
  <c r="AL48" i="6"/>
  <c r="AV48" i="6" s="1"/>
  <c r="AL48" i="2"/>
  <c r="AV48" i="2" s="1"/>
  <c r="AZ47" i="1"/>
  <c r="AN47" i="14"/>
  <c r="AX47" i="14" s="1"/>
  <c r="AN47" i="13"/>
  <c r="AX47" i="13" s="1"/>
  <c r="AN47" i="12"/>
  <c r="AX47" i="12" s="1"/>
  <c r="AN47" i="11"/>
  <c r="AX47" i="11" s="1"/>
  <c r="AN47" i="6"/>
  <c r="AX47" i="6" s="1"/>
  <c r="AN47" i="8"/>
  <c r="AX47" i="8" s="1"/>
  <c r="AN47" i="2"/>
  <c r="AX47" i="2" s="1"/>
  <c r="AN47" i="7"/>
  <c r="AX47" i="7" s="1"/>
  <c r="AN47" i="10"/>
  <c r="AX47" i="10" s="1"/>
  <c r="AN47" i="9"/>
  <c r="AX47" i="9" s="1"/>
  <c r="AN47" i="5"/>
  <c r="AX47" i="5" s="1"/>
  <c r="BB46" i="1"/>
  <c r="AP46" i="14"/>
  <c r="AZ46" i="14" s="1"/>
  <c r="AP46" i="13"/>
  <c r="AZ46" i="13" s="1"/>
  <c r="AP46" i="12"/>
  <c r="AZ46" i="12" s="1"/>
  <c r="AP46" i="11"/>
  <c r="AZ46" i="11" s="1"/>
  <c r="AP46" i="9"/>
  <c r="AZ46" i="9" s="1"/>
  <c r="AP46" i="10"/>
  <c r="AZ46" i="10" s="1"/>
  <c r="AP46" i="8"/>
  <c r="AZ46" i="8" s="1"/>
  <c r="AP46" i="6"/>
  <c r="AZ46" i="6" s="1"/>
  <c r="AP46" i="5"/>
  <c r="AZ46" i="5" s="1"/>
  <c r="AP46" i="2"/>
  <c r="AZ46" i="2" s="1"/>
  <c r="AP46" i="7"/>
  <c r="AZ46" i="7" s="1"/>
  <c r="AT46" i="1"/>
  <c r="AH46" i="14"/>
  <c r="AR46" i="14" s="1"/>
  <c r="AH46" i="13"/>
  <c r="AR46" i="13" s="1"/>
  <c r="AH46" i="12"/>
  <c r="AR46" i="12" s="1"/>
  <c r="AH46" i="11"/>
  <c r="AR46" i="11" s="1"/>
  <c r="AH46" i="9"/>
  <c r="AR46" i="9" s="1"/>
  <c r="AH46" i="10"/>
  <c r="AR46" i="10" s="1"/>
  <c r="AH46" i="8"/>
  <c r="AR46" i="8" s="1"/>
  <c r="AR46" i="6"/>
  <c r="AH46" i="5"/>
  <c r="AR46" i="5" s="1"/>
  <c r="AH46" i="2"/>
  <c r="AR46" i="2" s="1"/>
  <c r="AH46" i="7"/>
  <c r="AR46" i="7" s="1"/>
  <c r="AV45" i="1"/>
  <c r="AJ45" i="14"/>
  <c r="AT45" i="14" s="1"/>
  <c r="AJ45" i="13"/>
  <c r="AT45" i="13" s="1"/>
  <c r="AJ45" i="12"/>
  <c r="AT45" i="12" s="1"/>
  <c r="AJ45" i="10"/>
  <c r="AT45" i="10" s="1"/>
  <c r="AJ45" i="11"/>
  <c r="AT45" i="11" s="1"/>
  <c r="AJ45" i="9"/>
  <c r="AT45" i="9" s="1"/>
  <c r="AJ45" i="8"/>
  <c r="AT45" i="8" s="1"/>
  <c r="AJ45" i="7"/>
  <c r="AT45" i="7" s="1"/>
  <c r="AJ45" i="2"/>
  <c r="AT45" i="2" s="1"/>
  <c r="AJ45" i="6"/>
  <c r="AT45" i="6" s="1"/>
  <c r="AJ45" i="5"/>
  <c r="AT45" i="5" s="1"/>
  <c r="AX44" i="1"/>
  <c r="AL44" i="14"/>
  <c r="AV44" i="14" s="1"/>
  <c r="AL44" i="13"/>
  <c r="AV44" i="13" s="1"/>
  <c r="AL44" i="12"/>
  <c r="AV44" i="12" s="1"/>
  <c r="AL44" i="11"/>
  <c r="AV44" i="11" s="1"/>
  <c r="AL44" i="10"/>
  <c r="AV44" i="10" s="1"/>
  <c r="AL44" i="9"/>
  <c r="AV44" i="9" s="1"/>
  <c r="AL44" i="7"/>
  <c r="AV44" i="7" s="1"/>
  <c r="AL44" i="8"/>
  <c r="AV44" i="8" s="1"/>
  <c r="AL44" i="5"/>
  <c r="AV44" i="5" s="1"/>
  <c r="AL44" i="2"/>
  <c r="AV44" i="2" s="1"/>
  <c r="AL44" i="6"/>
  <c r="AV44" i="6" s="1"/>
  <c r="AZ79" i="1"/>
  <c r="AN79" i="14"/>
  <c r="AX79" i="14" s="1"/>
  <c r="AN79" i="13"/>
  <c r="AX79" i="13" s="1"/>
  <c r="AN79" i="11"/>
  <c r="AX79" i="11" s="1"/>
  <c r="AN79" i="12"/>
  <c r="AX79" i="12" s="1"/>
  <c r="AN79" i="9"/>
  <c r="AX79" i="9" s="1"/>
  <c r="AN79" i="8"/>
  <c r="AX79" i="8" s="1"/>
  <c r="AN79" i="7"/>
  <c r="AX79" i="7" s="1"/>
  <c r="AN79" i="10"/>
  <c r="AX79" i="10" s="1"/>
  <c r="AN79" i="6"/>
  <c r="AX79" i="6" s="1"/>
  <c r="AN79" i="2"/>
  <c r="AX79" i="2" s="1"/>
  <c r="AN79" i="5"/>
  <c r="AX79" i="5" s="1"/>
  <c r="BB78" i="1"/>
  <c r="AP78" i="14"/>
  <c r="AZ78" i="14" s="1"/>
  <c r="AP78" i="13"/>
  <c r="AZ78" i="13" s="1"/>
  <c r="AP78" i="12"/>
  <c r="AZ78" i="12" s="1"/>
  <c r="AP78" i="11"/>
  <c r="AZ78" i="11" s="1"/>
  <c r="AP78" i="10"/>
  <c r="AZ78" i="10" s="1"/>
  <c r="AP78" i="9"/>
  <c r="AZ78" i="9" s="1"/>
  <c r="AP78" i="8"/>
  <c r="AZ78" i="8" s="1"/>
  <c r="AP78" i="7"/>
  <c r="AZ78" i="7" s="1"/>
  <c r="AP78" i="6"/>
  <c r="AZ78" i="6" s="1"/>
  <c r="AP78" i="2"/>
  <c r="AZ78" i="2" s="1"/>
  <c r="AP78" i="5"/>
  <c r="AZ78" i="5" s="1"/>
  <c r="AT78" i="1"/>
  <c r="AH78" i="14"/>
  <c r="AR78" i="14" s="1"/>
  <c r="AH78" i="13"/>
  <c r="AR78" i="13" s="1"/>
  <c r="AH78" i="12"/>
  <c r="AR78" i="12" s="1"/>
  <c r="AH78" i="11"/>
  <c r="AR78" i="11" s="1"/>
  <c r="AH78" i="10"/>
  <c r="AR78" i="10" s="1"/>
  <c r="AH78" i="9"/>
  <c r="AR78" i="9" s="1"/>
  <c r="AH78" i="8"/>
  <c r="AR78" i="8" s="1"/>
  <c r="AH78" i="5"/>
  <c r="AR78" i="5" s="1"/>
  <c r="AR78" i="6"/>
  <c r="AH78" i="2"/>
  <c r="AR78" i="2" s="1"/>
  <c r="AH78" i="7"/>
  <c r="AR78" i="7" s="1"/>
  <c r="AV77" i="1"/>
  <c r="AJ77" i="14"/>
  <c r="AT77" i="14" s="1"/>
  <c r="AJ77" i="13"/>
  <c r="AT77" i="13" s="1"/>
  <c r="AJ77" i="11"/>
  <c r="AT77" i="11" s="1"/>
  <c r="AJ77" i="12"/>
  <c r="AT77" i="12" s="1"/>
  <c r="AJ77" i="9"/>
  <c r="AT77" i="9" s="1"/>
  <c r="AJ77" i="8"/>
  <c r="AT77" i="8" s="1"/>
  <c r="AJ77" i="7"/>
  <c r="AT77" i="7" s="1"/>
  <c r="AJ77" i="10"/>
  <c r="AT77" i="10" s="1"/>
  <c r="AJ77" i="5"/>
  <c r="AT77" i="5" s="1"/>
  <c r="AJ77" i="6"/>
  <c r="AT77" i="6" s="1"/>
  <c r="AJ77" i="2"/>
  <c r="AT77" i="2" s="1"/>
  <c r="AX76" i="1"/>
  <c r="AL76" i="14"/>
  <c r="AV76" i="14" s="1"/>
  <c r="AL76" i="13"/>
  <c r="AV76" i="13" s="1"/>
  <c r="AL76" i="12"/>
  <c r="AV76" i="12" s="1"/>
  <c r="AL76" i="11"/>
  <c r="AV76" i="11" s="1"/>
  <c r="AL76" i="10"/>
  <c r="AV76" i="10" s="1"/>
  <c r="AL76" i="9"/>
  <c r="AV76" i="9" s="1"/>
  <c r="AL76" i="8"/>
  <c r="AV76" i="8" s="1"/>
  <c r="AL76" i="7"/>
  <c r="AV76" i="7" s="1"/>
  <c r="AL76" i="6"/>
  <c r="AV76" i="6" s="1"/>
  <c r="AL76" i="5"/>
  <c r="AV76" i="5" s="1"/>
  <c r="AL76" i="2"/>
  <c r="AV76" i="2" s="1"/>
  <c r="AZ75" i="1"/>
  <c r="AN75" i="14"/>
  <c r="AX75" i="14" s="1"/>
  <c r="AN75" i="13"/>
  <c r="AX75" i="13" s="1"/>
  <c r="AN75" i="12"/>
  <c r="AX75" i="12" s="1"/>
  <c r="AN75" i="11"/>
  <c r="AX75" i="11" s="1"/>
  <c r="AN75" i="9"/>
  <c r="AX75" i="9" s="1"/>
  <c r="AN75" i="10"/>
  <c r="AX75" i="10" s="1"/>
  <c r="AN75" i="8"/>
  <c r="AX75" i="8" s="1"/>
  <c r="AN75" i="7"/>
  <c r="AX75" i="7" s="1"/>
  <c r="AN75" i="5"/>
  <c r="AX75" i="5" s="1"/>
  <c r="AN75" i="2"/>
  <c r="AX75" i="2" s="1"/>
  <c r="AN75" i="6"/>
  <c r="AX75" i="6" s="1"/>
  <c r="BB74" i="1"/>
  <c r="AP74" i="14"/>
  <c r="AZ74" i="14" s="1"/>
  <c r="AP74" i="13"/>
  <c r="AZ74" i="13" s="1"/>
  <c r="AP74" i="11"/>
  <c r="AZ74" i="11" s="1"/>
  <c r="AP74" i="12"/>
  <c r="AZ74" i="12" s="1"/>
  <c r="AP74" i="10"/>
  <c r="AZ74" i="10" s="1"/>
  <c r="AP74" i="9"/>
  <c r="AZ74" i="9" s="1"/>
  <c r="AP74" i="8"/>
  <c r="AZ74" i="8" s="1"/>
  <c r="AP74" i="7"/>
  <c r="AZ74" i="7" s="1"/>
  <c r="AP74" i="5"/>
  <c r="AZ74" i="5" s="1"/>
  <c r="AP74" i="6"/>
  <c r="AZ74" i="6" s="1"/>
  <c r="AP74" i="2"/>
  <c r="AZ74" i="2" s="1"/>
  <c r="AT74" i="1"/>
  <c r="AH74" i="14"/>
  <c r="AR74" i="14" s="1"/>
  <c r="AH74" i="13"/>
  <c r="AR74" i="13" s="1"/>
  <c r="AH74" i="12"/>
  <c r="AR74" i="12" s="1"/>
  <c r="AH74" i="11"/>
  <c r="AR74" i="11" s="1"/>
  <c r="AH74" i="10"/>
  <c r="AR74" i="10" s="1"/>
  <c r="AH74" i="9"/>
  <c r="AR74" i="9" s="1"/>
  <c r="AH74" i="8"/>
  <c r="AR74" i="8" s="1"/>
  <c r="AH74" i="5"/>
  <c r="AR74" i="5" s="1"/>
  <c r="AH74" i="7"/>
  <c r="AR74" i="7" s="1"/>
  <c r="AR74" i="6"/>
  <c r="AH74" i="2"/>
  <c r="AR74" i="2" s="1"/>
  <c r="AV73" i="1"/>
  <c r="AJ73" i="14"/>
  <c r="AT73" i="14" s="1"/>
  <c r="AJ73" i="12"/>
  <c r="AT73" i="12" s="1"/>
  <c r="AJ73" i="11"/>
  <c r="AT73" i="11" s="1"/>
  <c r="AJ73" i="13"/>
  <c r="AT73" i="13" s="1"/>
  <c r="AJ73" i="9"/>
  <c r="AT73" i="9" s="1"/>
  <c r="AJ73" i="10"/>
  <c r="AT73" i="10" s="1"/>
  <c r="AJ73" i="8"/>
  <c r="AT73" i="8" s="1"/>
  <c r="AJ73" i="7"/>
  <c r="AT73" i="7" s="1"/>
  <c r="AJ73" i="5"/>
  <c r="AT73" i="5" s="1"/>
  <c r="AJ73" i="6"/>
  <c r="AT73" i="6" s="1"/>
  <c r="AJ73" i="2"/>
  <c r="AT73" i="2" s="1"/>
  <c r="BB72" i="1"/>
  <c r="AP72" i="14"/>
  <c r="AZ72" i="14" s="1"/>
  <c r="AP72" i="13"/>
  <c r="AZ72" i="13" s="1"/>
  <c r="AP72" i="11"/>
  <c r="AZ72" i="11" s="1"/>
  <c r="AP72" i="12"/>
  <c r="AZ72" i="12" s="1"/>
  <c r="AP72" i="9"/>
  <c r="AZ72" i="9" s="1"/>
  <c r="AP72" i="8"/>
  <c r="AZ72" i="8" s="1"/>
  <c r="AP72" i="10"/>
  <c r="AZ72" i="10" s="1"/>
  <c r="AP72" i="5"/>
  <c r="AZ72" i="5" s="1"/>
  <c r="AP72" i="6"/>
  <c r="AZ72" i="6" s="1"/>
  <c r="AP72" i="2"/>
  <c r="AZ72" i="2" s="1"/>
  <c r="AP72" i="7"/>
  <c r="AZ72" i="7" s="1"/>
  <c r="AT72" i="1"/>
  <c r="AH72" i="14"/>
  <c r="AR72" i="14" s="1"/>
  <c r="AH72" i="13"/>
  <c r="AR72" i="13" s="1"/>
  <c r="AH72" i="12"/>
  <c r="AR72" i="12" s="1"/>
  <c r="AH72" i="11"/>
  <c r="AR72" i="11" s="1"/>
  <c r="AH72" i="9"/>
  <c r="AR72" i="9" s="1"/>
  <c r="AH72" i="8"/>
  <c r="AR72" i="8" s="1"/>
  <c r="AH72" i="10"/>
  <c r="AR72" i="10" s="1"/>
  <c r="AH72" i="7"/>
  <c r="AR72" i="7" s="1"/>
  <c r="AH72" i="5"/>
  <c r="AR72" i="5" s="1"/>
  <c r="AR72" i="6"/>
  <c r="AH72" i="2"/>
  <c r="AR72" i="2" s="1"/>
  <c r="BC53" i="1"/>
  <c r="AQ53" i="14"/>
  <c r="BA53" i="14" s="1"/>
  <c r="AQ53" i="13"/>
  <c r="BA53" i="13" s="1"/>
  <c r="AQ53" i="11"/>
  <c r="BA53" i="11" s="1"/>
  <c r="AQ53" i="10"/>
  <c r="BA53" i="10" s="1"/>
  <c r="AQ53" i="12"/>
  <c r="BA53" i="12" s="1"/>
  <c r="AQ53" i="9"/>
  <c r="BA53" i="9" s="1"/>
  <c r="AQ53" i="8"/>
  <c r="BA53" i="8" s="1"/>
  <c r="AQ53" i="7"/>
  <c r="BA53" i="7" s="1"/>
  <c r="AQ53" i="2"/>
  <c r="BA53" i="2" s="1"/>
  <c r="AQ53" i="6"/>
  <c r="BA53" i="6" s="1"/>
  <c r="AQ53" i="5"/>
  <c r="BA53" i="5" s="1"/>
  <c r="AU53" i="1"/>
  <c r="AI53" i="14"/>
  <c r="AS53" i="14" s="1"/>
  <c r="AI53" i="13"/>
  <c r="AS53" i="13" s="1"/>
  <c r="AI53" i="12"/>
  <c r="AS53" i="12" s="1"/>
  <c r="AI53" i="11"/>
  <c r="AS53" i="11" s="1"/>
  <c r="AI53" i="10"/>
  <c r="AS53" i="10" s="1"/>
  <c r="AI53" i="9"/>
  <c r="AS53" i="9" s="1"/>
  <c r="AI53" i="8"/>
  <c r="AS53" i="8" s="1"/>
  <c r="AI53" i="7"/>
  <c r="AS53" i="7" s="1"/>
  <c r="AI53" i="2"/>
  <c r="AS53" i="2" s="1"/>
  <c r="AS53" i="6"/>
  <c r="AI53" i="5"/>
  <c r="AS53" i="5" s="1"/>
  <c r="BA52" i="1"/>
  <c r="AO52" i="14"/>
  <c r="AY52" i="14" s="1"/>
  <c r="AO52" i="13"/>
  <c r="AY52" i="13" s="1"/>
  <c r="AO52" i="12"/>
  <c r="AY52" i="12" s="1"/>
  <c r="AO52" i="11"/>
  <c r="AY52" i="11" s="1"/>
  <c r="AO52" i="10"/>
  <c r="AY52" i="10" s="1"/>
  <c r="AO52" i="7"/>
  <c r="AY52" i="7" s="1"/>
  <c r="AO52" i="9"/>
  <c r="AY52" i="9" s="1"/>
  <c r="AO52" i="2"/>
  <c r="AY52" i="2" s="1"/>
  <c r="AO52" i="6"/>
  <c r="AY52" i="6" s="1"/>
  <c r="AO52" i="5"/>
  <c r="AY52" i="5" s="1"/>
  <c r="AO52" i="8"/>
  <c r="AY52" i="8" s="1"/>
  <c r="BC51" i="1"/>
  <c r="AQ51" i="14"/>
  <c r="BA51" i="14" s="1"/>
  <c r="AQ51" i="13"/>
  <c r="BA51" i="13" s="1"/>
  <c r="AQ51" i="11"/>
  <c r="BA51" i="11" s="1"/>
  <c r="AQ51" i="12"/>
  <c r="BA51" i="12" s="1"/>
  <c r="AQ51" i="10"/>
  <c r="BA51" i="10" s="1"/>
  <c r="AQ51" i="9"/>
  <c r="BA51" i="9" s="1"/>
  <c r="AQ51" i="8"/>
  <c r="BA51" i="8" s="1"/>
  <c r="AQ51" i="7"/>
  <c r="BA51" i="7" s="1"/>
  <c r="AQ51" i="6"/>
  <c r="BA51" i="6" s="1"/>
  <c r="AQ51" i="2"/>
  <c r="BA51" i="2" s="1"/>
  <c r="AQ51" i="5"/>
  <c r="BA51" i="5" s="1"/>
  <c r="AU51" i="1"/>
  <c r="AI51" i="14"/>
  <c r="AS51" i="14" s="1"/>
  <c r="AI51" i="13"/>
  <c r="AS51" i="13" s="1"/>
  <c r="AI51" i="12"/>
  <c r="AS51" i="12" s="1"/>
  <c r="AI51" i="11"/>
  <c r="AS51" i="11" s="1"/>
  <c r="AI51" i="10"/>
  <c r="AS51" i="10" s="1"/>
  <c r="AI51" i="9"/>
  <c r="AS51" i="9" s="1"/>
  <c r="AI51" i="8"/>
  <c r="AS51" i="8" s="1"/>
  <c r="AI51" i="7"/>
  <c r="AS51" i="7" s="1"/>
  <c r="AS51" i="6"/>
  <c r="AI51" i="2"/>
  <c r="AS51" i="2" s="1"/>
  <c r="AI51" i="5"/>
  <c r="AS51" i="5" s="1"/>
  <c r="AW50" i="1"/>
  <c r="AK50" i="14"/>
  <c r="AU50" i="14" s="1"/>
  <c r="AK50" i="13"/>
  <c r="AU50" i="13" s="1"/>
  <c r="AK50" i="12"/>
  <c r="AU50" i="12" s="1"/>
  <c r="AK50" i="10"/>
  <c r="AU50" i="10" s="1"/>
  <c r="AK50" i="11"/>
  <c r="AU50" i="11" s="1"/>
  <c r="AK50" i="9"/>
  <c r="AU50" i="9" s="1"/>
  <c r="AK50" i="8"/>
  <c r="AU50" i="8" s="1"/>
  <c r="AK50" i="7"/>
  <c r="AU50" i="7" s="1"/>
  <c r="AK50" i="6"/>
  <c r="AU50" i="6" s="1"/>
  <c r="AK50" i="2"/>
  <c r="AU50" i="2" s="1"/>
  <c r="AK50" i="5"/>
  <c r="AU50" i="5" s="1"/>
  <c r="AY49" i="1"/>
  <c r="AM49" i="14"/>
  <c r="AW49" i="14" s="1"/>
  <c r="AM49" i="13"/>
  <c r="AW49" i="13" s="1"/>
  <c r="AM49" i="11"/>
  <c r="AW49" i="11" s="1"/>
  <c r="AM49" i="10"/>
  <c r="AW49" i="10" s="1"/>
  <c r="AM49" i="9"/>
  <c r="AW49" i="9" s="1"/>
  <c r="AM49" i="8"/>
  <c r="AW49" i="8" s="1"/>
  <c r="AM49" i="7"/>
  <c r="AW49" i="7" s="1"/>
  <c r="AM49" i="2"/>
  <c r="AW49" i="2" s="1"/>
  <c r="AM49" i="12"/>
  <c r="AW49" i="12" s="1"/>
  <c r="AM49" i="6"/>
  <c r="AW49" i="6" s="1"/>
  <c r="AM49" i="5"/>
  <c r="AW49" i="5" s="1"/>
  <c r="BA48" i="1"/>
  <c r="AO48" i="14"/>
  <c r="AY48" i="14" s="1"/>
  <c r="AO48" i="13"/>
  <c r="AY48" i="13" s="1"/>
  <c r="AO48" i="12"/>
  <c r="AY48" i="12" s="1"/>
  <c r="AO48" i="11"/>
  <c r="AY48" i="11" s="1"/>
  <c r="AO48" i="10"/>
  <c r="AY48" i="10" s="1"/>
  <c r="AO48" i="7"/>
  <c r="AY48" i="7" s="1"/>
  <c r="AO48" i="9"/>
  <c r="AY48" i="9" s="1"/>
  <c r="AO48" i="2"/>
  <c r="AY48" i="2" s="1"/>
  <c r="AO48" i="8"/>
  <c r="AY48" i="8" s="1"/>
  <c r="AO48" i="5"/>
  <c r="AY48" i="5" s="1"/>
  <c r="AO48" i="6"/>
  <c r="AY48" i="6" s="1"/>
  <c r="BC47" i="1"/>
  <c r="AQ47" i="14"/>
  <c r="BA47" i="14" s="1"/>
  <c r="AQ47" i="13"/>
  <c r="BA47" i="13" s="1"/>
  <c r="AQ47" i="11"/>
  <c r="BA47" i="11" s="1"/>
  <c r="AQ47" i="12"/>
  <c r="BA47" i="12" s="1"/>
  <c r="AQ47" i="9"/>
  <c r="BA47" i="9" s="1"/>
  <c r="AQ47" i="10"/>
  <c r="BA47" i="10" s="1"/>
  <c r="AQ47" i="8"/>
  <c r="BA47" i="8" s="1"/>
  <c r="AQ47" i="7"/>
  <c r="BA47" i="7" s="1"/>
  <c r="AQ47" i="2"/>
  <c r="BA47" i="2" s="1"/>
  <c r="AQ47" i="6"/>
  <c r="BA47" i="6" s="1"/>
  <c r="AQ47" i="5"/>
  <c r="BA47" i="5" s="1"/>
  <c r="AU47" i="1"/>
  <c r="AI47" i="14"/>
  <c r="AS47" i="14" s="1"/>
  <c r="AI47" i="13"/>
  <c r="AS47" i="13" s="1"/>
  <c r="AI47" i="12"/>
  <c r="AS47" i="12" s="1"/>
  <c r="AI47" i="11"/>
  <c r="AS47" i="11" s="1"/>
  <c r="AI47" i="9"/>
  <c r="AS47" i="9" s="1"/>
  <c r="AI47" i="10"/>
  <c r="AS47" i="10" s="1"/>
  <c r="AI47" i="8"/>
  <c r="AS47" i="8" s="1"/>
  <c r="AI47" i="7"/>
  <c r="AS47" i="7" s="1"/>
  <c r="AI47" i="2"/>
  <c r="AS47" i="2" s="1"/>
  <c r="AS47" i="6"/>
  <c r="AI47" i="5"/>
  <c r="AS47" i="5" s="1"/>
  <c r="AW46" i="1"/>
  <c r="AK46" i="14"/>
  <c r="AU46" i="14" s="1"/>
  <c r="AK46" i="13"/>
  <c r="AU46" i="13" s="1"/>
  <c r="AK46" i="12"/>
  <c r="AU46" i="12" s="1"/>
  <c r="AK46" i="10"/>
  <c r="AU46" i="10" s="1"/>
  <c r="AK46" i="11"/>
  <c r="AU46" i="11" s="1"/>
  <c r="AK46" i="9"/>
  <c r="AU46" i="9" s="1"/>
  <c r="AK46" i="8"/>
  <c r="AU46" i="8" s="1"/>
  <c r="AK46" i="2"/>
  <c r="AU46" i="2" s="1"/>
  <c r="AK46" i="6"/>
  <c r="AU46" i="6" s="1"/>
  <c r="AK46" i="5"/>
  <c r="AU46" i="5" s="1"/>
  <c r="AK46" i="7"/>
  <c r="AU46" i="7" s="1"/>
  <c r="BC45" i="1"/>
  <c r="AQ45" i="14"/>
  <c r="BA45" i="14" s="1"/>
  <c r="AQ45" i="13"/>
  <c r="BA45" i="13" s="1"/>
  <c r="AQ45" i="11"/>
  <c r="BA45" i="11" s="1"/>
  <c r="AQ45" i="10"/>
  <c r="BA45" i="10" s="1"/>
  <c r="AQ45" i="12"/>
  <c r="BA45" i="12" s="1"/>
  <c r="AQ45" i="9"/>
  <c r="BA45" i="9" s="1"/>
  <c r="AQ45" i="8"/>
  <c r="BA45" i="8" s="1"/>
  <c r="AQ45" i="2"/>
  <c r="BA45" i="2" s="1"/>
  <c r="AQ45" i="7"/>
  <c r="BA45" i="7" s="1"/>
  <c r="AQ45" i="6"/>
  <c r="BA45" i="6" s="1"/>
  <c r="AQ45" i="5"/>
  <c r="BA45" i="5" s="1"/>
  <c r="AU45" i="1"/>
  <c r="AI45" i="14"/>
  <c r="AS45" i="14" s="1"/>
  <c r="AI45" i="13"/>
  <c r="AS45" i="13" s="1"/>
  <c r="AI45" i="12"/>
  <c r="AS45" i="12" s="1"/>
  <c r="AI45" i="11"/>
  <c r="AS45" i="11" s="1"/>
  <c r="AI45" i="10"/>
  <c r="AS45" i="10" s="1"/>
  <c r="AI45" i="9"/>
  <c r="AS45" i="9" s="1"/>
  <c r="AI45" i="8"/>
  <c r="AS45" i="8" s="1"/>
  <c r="AI45" i="2"/>
  <c r="AS45" i="2" s="1"/>
  <c r="AI45" i="7"/>
  <c r="AS45" i="7" s="1"/>
  <c r="AI45" i="5"/>
  <c r="AS45" i="5" s="1"/>
  <c r="AS45" i="6"/>
  <c r="AW44" i="1"/>
  <c r="AK44" i="14"/>
  <c r="AU44" i="14" s="1"/>
  <c r="AK44" i="13"/>
  <c r="AU44" i="13" s="1"/>
  <c r="AK44" i="12"/>
  <c r="AU44" i="12" s="1"/>
  <c r="AK44" i="11"/>
  <c r="AU44" i="11" s="1"/>
  <c r="AK44" i="10"/>
  <c r="AU44" i="10" s="1"/>
  <c r="AK44" i="9"/>
  <c r="AU44" i="9" s="1"/>
  <c r="AK44" i="7"/>
  <c r="AU44" i="7" s="1"/>
  <c r="AK44" i="2"/>
  <c r="AU44" i="2" s="1"/>
  <c r="AK44" i="8"/>
  <c r="AU44" i="8" s="1"/>
  <c r="AK44" i="5"/>
  <c r="AU44" i="5" s="1"/>
  <c r="AK44" i="6"/>
  <c r="AU44" i="6" s="1"/>
  <c r="AY79" i="1"/>
  <c r="AM79" i="14"/>
  <c r="AW79" i="14" s="1"/>
  <c r="AM79" i="12"/>
  <c r="AW79" i="12" s="1"/>
  <c r="AM79" i="13"/>
  <c r="AW79" i="13" s="1"/>
  <c r="AM79" i="11"/>
  <c r="AW79" i="11" s="1"/>
  <c r="AM79" i="10"/>
  <c r="AW79" i="10" s="1"/>
  <c r="AM79" i="9"/>
  <c r="AW79" i="9" s="1"/>
  <c r="AM79" i="8"/>
  <c r="AW79" i="8" s="1"/>
  <c r="AM79" i="7"/>
  <c r="AW79" i="7" s="1"/>
  <c r="AM79" i="6"/>
  <c r="AW79" i="6" s="1"/>
  <c r="AM79" i="5"/>
  <c r="AW79" i="5" s="1"/>
  <c r="AM79" i="2"/>
  <c r="AW79" i="2" s="1"/>
  <c r="BA78" i="1"/>
  <c r="AO78" i="14"/>
  <c r="AY78" i="14" s="1"/>
  <c r="AO78" i="13"/>
  <c r="AY78" i="13" s="1"/>
  <c r="AO78" i="12"/>
  <c r="AY78" i="12" s="1"/>
  <c r="AO78" i="11"/>
  <c r="AY78" i="11" s="1"/>
  <c r="AO78" i="10"/>
  <c r="AY78" i="10" s="1"/>
  <c r="AO78" i="9"/>
  <c r="AY78" i="9" s="1"/>
  <c r="AO78" i="7"/>
  <c r="AY78" i="7" s="1"/>
  <c r="AO78" i="8"/>
  <c r="AY78" i="8" s="1"/>
  <c r="AO78" i="6"/>
  <c r="AY78" i="6" s="1"/>
  <c r="AO78" i="5"/>
  <c r="AY78" i="5" s="1"/>
  <c r="AO78" i="2"/>
  <c r="AY78" i="2" s="1"/>
  <c r="AW78" i="1"/>
  <c r="AK78" i="14"/>
  <c r="AU78" i="14" s="1"/>
  <c r="AK78" i="13"/>
  <c r="AU78" i="13" s="1"/>
  <c r="AK78" i="12"/>
  <c r="AU78" i="12" s="1"/>
  <c r="AK78" i="11"/>
  <c r="AU78" i="11" s="1"/>
  <c r="AK78" i="10"/>
  <c r="AU78" i="10" s="1"/>
  <c r="AK78" i="7"/>
  <c r="AU78" i="7" s="1"/>
  <c r="AK78" i="9"/>
  <c r="AU78" i="9" s="1"/>
  <c r="AK78" i="8"/>
  <c r="AU78" i="8" s="1"/>
  <c r="AK78" i="6"/>
  <c r="AU78" i="6" s="1"/>
  <c r="AK78" i="5"/>
  <c r="AU78" i="5" s="1"/>
  <c r="AK78" i="2"/>
  <c r="AU78" i="2" s="1"/>
  <c r="AY77" i="1"/>
  <c r="AM77" i="14"/>
  <c r="AW77" i="14" s="1"/>
  <c r="AM77" i="13"/>
  <c r="AW77" i="13" s="1"/>
  <c r="AM77" i="12"/>
  <c r="AW77" i="12" s="1"/>
  <c r="AM77" i="11"/>
  <c r="AW77" i="11" s="1"/>
  <c r="AM77" i="10"/>
  <c r="AW77" i="10" s="1"/>
  <c r="AM77" i="9"/>
  <c r="AW77" i="9" s="1"/>
  <c r="AM77" i="8"/>
  <c r="AW77" i="8" s="1"/>
  <c r="AM77" i="7"/>
  <c r="AW77" i="7" s="1"/>
  <c r="AM77" i="6"/>
  <c r="AW77" i="6" s="1"/>
  <c r="AM77" i="5"/>
  <c r="AW77" i="5" s="1"/>
  <c r="AM77" i="2"/>
  <c r="AW77" i="2" s="1"/>
  <c r="BA76" i="1"/>
  <c r="AO76" i="14"/>
  <c r="AY76" i="14" s="1"/>
  <c r="AO76" i="13"/>
  <c r="AY76" i="13" s="1"/>
  <c r="AO76" i="12"/>
  <c r="AY76" i="12" s="1"/>
  <c r="AO76" i="11"/>
  <c r="AY76" i="11" s="1"/>
  <c r="AO76" i="10"/>
  <c r="AY76" i="10" s="1"/>
  <c r="AO76" i="7"/>
  <c r="AY76" i="7" s="1"/>
  <c r="AO76" i="9"/>
  <c r="AY76" i="9" s="1"/>
  <c r="AO76" i="8"/>
  <c r="AY76" i="8" s="1"/>
  <c r="AO76" i="6"/>
  <c r="AY76" i="6" s="1"/>
  <c r="AO76" i="5"/>
  <c r="AY76" i="5" s="1"/>
  <c r="AO76" i="2"/>
  <c r="AY76" i="2" s="1"/>
  <c r="BC75" i="1"/>
  <c r="AQ75" i="14"/>
  <c r="BA75" i="14" s="1"/>
  <c r="AQ75" i="13"/>
  <c r="BA75" i="13" s="1"/>
  <c r="AQ75" i="12"/>
  <c r="BA75" i="12" s="1"/>
  <c r="AQ75" i="11"/>
  <c r="BA75" i="11" s="1"/>
  <c r="AQ75" i="10"/>
  <c r="BA75" i="10" s="1"/>
  <c r="AQ75" i="9"/>
  <c r="BA75" i="9" s="1"/>
  <c r="AQ75" i="8"/>
  <c r="BA75" i="8" s="1"/>
  <c r="AQ75" i="7"/>
  <c r="BA75" i="7" s="1"/>
  <c r="AQ75" i="6"/>
  <c r="BA75" i="6" s="1"/>
  <c r="AQ75" i="5"/>
  <c r="BA75" i="5" s="1"/>
  <c r="AQ75" i="2"/>
  <c r="BA75" i="2" s="1"/>
  <c r="AU75" i="1"/>
  <c r="AI75" i="14"/>
  <c r="AS75" i="14" s="1"/>
  <c r="AI75" i="13"/>
  <c r="AS75" i="13" s="1"/>
  <c r="AI75" i="12"/>
  <c r="AS75" i="12" s="1"/>
  <c r="AI75" i="11"/>
  <c r="AS75" i="11" s="1"/>
  <c r="AI75" i="10"/>
  <c r="AS75" i="10" s="1"/>
  <c r="AI75" i="9"/>
  <c r="AS75" i="9" s="1"/>
  <c r="AI75" i="8"/>
  <c r="AS75" i="8" s="1"/>
  <c r="AI75" i="7"/>
  <c r="AS75" i="7" s="1"/>
  <c r="AS75" i="6"/>
  <c r="AI75" i="2"/>
  <c r="AS75" i="2" s="1"/>
  <c r="AI75" i="5"/>
  <c r="AS75" i="5" s="1"/>
  <c r="AW74" i="1"/>
  <c r="AK74" i="14"/>
  <c r="AU74" i="14" s="1"/>
  <c r="AK74" i="13"/>
  <c r="AU74" i="13" s="1"/>
  <c r="AK74" i="12"/>
  <c r="AU74" i="12" s="1"/>
  <c r="AK74" i="11"/>
  <c r="AU74" i="11" s="1"/>
  <c r="AK74" i="10"/>
  <c r="AU74" i="10" s="1"/>
  <c r="AK74" i="7"/>
  <c r="AU74" i="7" s="1"/>
  <c r="AK74" i="9"/>
  <c r="AU74" i="9" s="1"/>
  <c r="AK74" i="8"/>
  <c r="AU74" i="8" s="1"/>
  <c r="AK74" i="6"/>
  <c r="AU74" i="6" s="1"/>
  <c r="AK74" i="2"/>
  <c r="AU74" i="2" s="1"/>
  <c r="AK74" i="5"/>
  <c r="AU74" i="5" s="1"/>
  <c r="AY73" i="1"/>
  <c r="AM73" i="14"/>
  <c r="AW73" i="14" s="1"/>
  <c r="AM73" i="13"/>
  <c r="AW73" i="13" s="1"/>
  <c r="AM73" i="12"/>
  <c r="AW73" i="12" s="1"/>
  <c r="AM73" i="11"/>
  <c r="AW73" i="11" s="1"/>
  <c r="AM73" i="10"/>
  <c r="AW73" i="10" s="1"/>
  <c r="AM73" i="9"/>
  <c r="AW73" i="9" s="1"/>
  <c r="AM73" i="8"/>
  <c r="AW73" i="8" s="1"/>
  <c r="AM73" i="7"/>
  <c r="AW73" i="7" s="1"/>
  <c r="AM73" i="6"/>
  <c r="AW73" i="6" s="1"/>
  <c r="AM73" i="5"/>
  <c r="AW73" i="5" s="1"/>
  <c r="AM73" i="2"/>
  <c r="AW73" i="2" s="1"/>
  <c r="BA72" i="1"/>
  <c r="AO72" i="14"/>
  <c r="AY72" i="14" s="1"/>
  <c r="AO72" i="13"/>
  <c r="AY72" i="13" s="1"/>
  <c r="AO72" i="12"/>
  <c r="AY72" i="12" s="1"/>
  <c r="AO72" i="11"/>
  <c r="AY72" i="11" s="1"/>
  <c r="AO72" i="10"/>
  <c r="AY72" i="10" s="1"/>
  <c r="AO72" i="7"/>
  <c r="AY72" i="7" s="1"/>
  <c r="AO72" i="9"/>
  <c r="AY72" i="9" s="1"/>
  <c r="AO72" i="8"/>
  <c r="AY72" i="8" s="1"/>
  <c r="AO72" i="6"/>
  <c r="AY72" i="6" s="1"/>
  <c r="AO72" i="2"/>
  <c r="AY72" i="2" s="1"/>
  <c r="AO72" i="5"/>
  <c r="AY72" i="5" s="1"/>
  <c r="AX53" i="1"/>
  <c r="AL53" i="14"/>
  <c r="AV53" i="14" s="1"/>
  <c r="AL53" i="13"/>
  <c r="AV53" i="13" s="1"/>
  <c r="AL53" i="12"/>
  <c r="AV53" i="12" s="1"/>
  <c r="AL53" i="11"/>
  <c r="AV53" i="11" s="1"/>
  <c r="AL53" i="9"/>
  <c r="AV53" i="9" s="1"/>
  <c r="AL53" i="10"/>
  <c r="AV53" i="10" s="1"/>
  <c r="AL53" i="5"/>
  <c r="AV53" i="5" s="1"/>
  <c r="AL53" i="7"/>
  <c r="AV53" i="7" s="1"/>
  <c r="AL53" i="6"/>
  <c r="AV53" i="6" s="1"/>
  <c r="AL53" i="8"/>
  <c r="AV53" i="8" s="1"/>
  <c r="AL53" i="2"/>
  <c r="AV53" i="2" s="1"/>
  <c r="BA53" i="1"/>
  <c r="AO53" i="14"/>
  <c r="AY53" i="14" s="1"/>
  <c r="AO53" i="13"/>
  <c r="AY53" i="13" s="1"/>
  <c r="AO53" i="12"/>
  <c r="AY53" i="12" s="1"/>
  <c r="AO53" i="11"/>
  <c r="AY53" i="11" s="1"/>
  <c r="AO53" i="10"/>
  <c r="AY53" i="10" s="1"/>
  <c r="AO53" i="8"/>
  <c r="AY53" i="8" s="1"/>
  <c r="AO53" i="7"/>
  <c r="AY53" i="7" s="1"/>
  <c r="AO53" i="9"/>
  <c r="AY53" i="9" s="1"/>
  <c r="AO53" i="5"/>
  <c r="AY53" i="5" s="1"/>
  <c r="AO53" i="2"/>
  <c r="AY53" i="2" s="1"/>
  <c r="AO53" i="6"/>
  <c r="AY53" i="6" s="1"/>
  <c r="AW53" i="1"/>
  <c r="AK53" i="14"/>
  <c r="AU53" i="14" s="1"/>
  <c r="AK53" i="13"/>
  <c r="AU53" i="13" s="1"/>
  <c r="AK53" i="12"/>
  <c r="AU53" i="12" s="1"/>
  <c r="AK53" i="11"/>
  <c r="AU53" i="11" s="1"/>
  <c r="AK53" i="10"/>
  <c r="AU53" i="10" s="1"/>
  <c r="AK53" i="9"/>
  <c r="AU53" i="9" s="1"/>
  <c r="AK53" i="8"/>
  <c r="AU53" i="8" s="1"/>
  <c r="AK53" i="7"/>
  <c r="AU53" i="7" s="1"/>
  <c r="AK53" i="5"/>
  <c r="AU53" i="5" s="1"/>
  <c r="AK53" i="2"/>
  <c r="AU53" i="2" s="1"/>
  <c r="AK53" i="6"/>
  <c r="AU53" i="6" s="1"/>
  <c r="BC52" i="1"/>
  <c r="AQ52" i="14"/>
  <c r="BA52" i="14" s="1"/>
  <c r="AQ52" i="13"/>
  <c r="BA52" i="13" s="1"/>
  <c r="AQ52" i="11"/>
  <c r="BA52" i="11" s="1"/>
  <c r="AQ52" i="10"/>
  <c r="BA52" i="10" s="1"/>
  <c r="AQ52" i="12"/>
  <c r="BA52" i="12" s="1"/>
  <c r="AQ52" i="9"/>
  <c r="BA52" i="9" s="1"/>
  <c r="AQ52" i="8"/>
  <c r="BA52" i="8" s="1"/>
  <c r="AQ52" i="7"/>
  <c r="BA52" i="7" s="1"/>
  <c r="AQ52" i="6"/>
  <c r="BA52" i="6" s="1"/>
  <c r="AQ52" i="5"/>
  <c r="BA52" i="5" s="1"/>
  <c r="AQ52" i="2"/>
  <c r="BA52" i="2" s="1"/>
  <c r="AY52" i="1"/>
  <c r="AM52" i="14"/>
  <c r="AW52" i="14" s="1"/>
  <c r="AM52" i="13"/>
  <c r="AW52" i="13" s="1"/>
  <c r="AM52" i="11"/>
  <c r="AW52" i="11" s="1"/>
  <c r="AM52" i="10"/>
  <c r="AW52" i="10" s="1"/>
  <c r="AM52" i="12"/>
  <c r="AW52" i="12" s="1"/>
  <c r="AM52" i="9"/>
  <c r="AW52" i="9" s="1"/>
  <c r="AM52" i="8"/>
  <c r="AW52" i="8" s="1"/>
  <c r="AM52" i="7"/>
  <c r="AW52" i="7" s="1"/>
  <c r="AM52" i="2"/>
  <c r="AW52" i="2" s="1"/>
  <c r="AM52" i="6"/>
  <c r="AW52" i="6" s="1"/>
  <c r="AM52" i="5"/>
  <c r="AW52" i="5" s="1"/>
  <c r="AU52" i="1"/>
  <c r="AI52" i="14"/>
  <c r="AS52" i="14" s="1"/>
  <c r="AI52" i="13"/>
  <c r="AS52" i="13" s="1"/>
  <c r="AI52" i="12"/>
  <c r="AS52" i="12" s="1"/>
  <c r="AI52" i="11"/>
  <c r="AS52" i="11" s="1"/>
  <c r="AI52" i="10"/>
  <c r="AS52" i="10" s="1"/>
  <c r="AI52" i="9"/>
  <c r="AS52" i="9" s="1"/>
  <c r="AI52" i="8"/>
  <c r="AS52" i="8" s="1"/>
  <c r="AI52" i="7"/>
  <c r="AS52" i="7" s="1"/>
  <c r="AI52" i="2"/>
  <c r="AS52" i="2" s="1"/>
  <c r="AI52" i="5"/>
  <c r="AS52" i="5" s="1"/>
  <c r="AS52" i="6"/>
  <c r="BA51" i="1"/>
  <c r="AO51" i="14"/>
  <c r="AY51" i="14" s="1"/>
  <c r="AO51" i="13"/>
  <c r="AY51" i="13" s="1"/>
  <c r="AO51" i="12"/>
  <c r="AY51" i="12" s="1"/>
  <c r="AO51" i="10"/>
  <c r="AY51" i="10" s="1"/>
  <c r="AO51" i="11"/>
  <c r="AY51" i="11" s="1"/>
  <c r="AO51" i="9"/>
  <c r="AY51" i="9" s="1"/>
  <c r="AO51" i="8"/>
  <c r="AY51" i="8" s="1"/>
  <c r="AO51" i="7"/>
  <c r="AY51" i="7" s="1"/>
  <c r="AO51" i="5"/>
  <c r="AY51" i="5" s="1"/>
  <c r="AO51" i="6"/>
  <c r="AY51" i="6" s="1"/>
  <c r="AO51" i="2"/>
  <c r="AY51" i="2" s="1"/>
  <c r="AW51" i="1"/>
  <c r="AK51" i="14"/>
  <c r="AU51" i="14" s="1"/>
  <c r="AK51" i="13"/>
  <c r="AU51" i="13" s="1"/>
  <c r="AK51" i="12"/>
  <c r="AU51" i="12" s="1"/>
  <c r="AK51" i="10"/>
  <c r="AU51" i="10" s="1"/>
  <c r="AK51" i="11"/>
  <c r="AU51" i="11" s="1"/>
  <c r="AK51" i="9"/>
  <c r="AU51" i="9" s="1"/>
  <c r="AK51" i="8"/>
  <c r="AU51" i="8" s="1"/>
  <c r="AK51" i="7"/>
  <c r="AU51" i="7" s="1"/>
  <c r="AK51" i="5"/>
  <c r="AU51" i="5" s="1"/>
  <c r="AK51" i="6"/>
  <c r="AU51" i="6" s="1"/>
  <c r="AK51" i="2"/>
  <c r="AU51" i="2" s="1"/>
  <c r="BC50" i="1"/>
  <c r="AQ50" i="14"/>
  <c r="BA50" i="14" s="1"/>
  <c r="AQ50" i="13"/>
  <c r="BA50" i="13" s="1"/>
  <c r="AQ50" i="11"/>
  <c r="BA50" i="11" s="1"/>
  <c r="AQ50" i="12"/>
  <c r="BA50" i="12" s="1"/>
  <c r="AQ50" i="9"/>
  <c r="BA50" i="9" s="1"/>
  <c r="AQ50" i="10"/>
  <c r="BA50" i="10" s="1"/>
  <c r="AQ50" i="7"/>
  <c r="BA50" i="7" s="1"/>
  <c r="AQ50" i="8"/>
  <c r="BA50" i="8" s="1"/>
  <c r="AQ50" i="6"/>
  <c r="BA50" i="6" s="1"/>
  <c r="AQ50" i="2"/>
  <c r="BA50" i="2" s="1"/>
  <c r="AQ50" i="5"/>
  <c r="BA50" i="5" s="1"/>
  <c r="AY50" i="1"/>
  <c r="AM50" i="14"/>
  <c r="AW50" i="14" s="1"/>
  <c r="AM50" i="13"/>
  <c r="AW50" i="13" s="1"/>
  <c r="AM50" i="11"/>
  <c r="AW50" i="11" s="1"/>
  <c r="AM50" i="9"/>
  <c r="AW50" i="9" s="1"/>
  <c r="AM50" i="10"/>
  <c r="AW50" i="10" s="1"/>
  <c r="AM50" i="12"/>
  <c r="AW50" i="12" s="1"/>
  <c r="AM50" i="7"/>
  <c r="AW50" i="7" s="1"/>
  <c r="AM50" i="8"/>
  <c r="AW50" i="8" s="1"/>
  <c r="AM50" i="6"/>
  <c r="AW50" i="6" s="1"/>
  <c r="AM50" i="5"/>
  <c r="AW50" i="5" s="1"/>
  <c r="AM50" i="2"/>
  <c r="AW50" i="2" s="1"/>
  <c r="AU50" i="1"/>
  <c r="AI50" i="14"/>
  <c r="AS50" i="14" s="1"/>
  <c r="AI50" i="13"/>
  <c r="AS50" i="13" s="1"/>
  <c r="AI50" i="12"/>
  <c r="AS50" i="12" s="1"/>
  <c r="AI50" i="11"/>
  <c r="AS50" i="11" s="1"/>
  <c r="AI50" i="9"/>
  <c r="AS50" i="9" s="1"/>
  <c r="AI50" i="7"/>
  <c r="AS50" i="7" s="1"/>
  <c r="AI50" i="10"/>
  <c r="AS50" i="10" s="1"/>
  <c r="AS50" i="6"/>
  <c r="AI50" i="8"/>
  <c r="AS50" i="8" s="1"/>
  <c r="AI50" i="2"/>
  <c r="AS50" i="2" s="1"/>
  <c r="AI50" i="5"/>
  <c r="AS50" i="5" s="1"/>
  <c r="BA49" i="1"/>
  <c r="AO49" i="14"/>
  <c r="AY49" i="14" s="1"/>
  <c r="AO49" i="13"/>
  <c r="AY49" i="13" s="1"/>
  <c r="AO49" i="12"/>
  <c r="AY49" i="12" s="1"/>
  <c r="AO49" i="11"/>
  <c r="AY49" i="11" s="1"/>
  <c r="AO49" i="10"/>
  <c r="AY49" i="10" s="1"/>
  <c r="AO49" i="8"/>
  <c r="AY49" i="8" s="1"/>
  <c r="AO49" i="7"/>
  <c r="AY49" i="7" s="1"/>
  <c r="AO49" i="9"/>
  <c r="AY49" i="9" s="1"/>
  <c r="AO49" i="6"/>
  <c r="AY49" i="6" s="1"/>
  <c r="AO49" i="5"/>
  <c r="AY49" i="5" s="1"/>
  <c r="AO49" i="2"/>
  <c r="AY49" i="2" s="1"/>
  <c r="AW49" i="1"/>
  <c r="AK49" i="14"/>
  <c r="AU49" i="14" s="1"/>
  <c r="AK49" i="13"/>
  <c r="AU49" i="13" s="1"/>
  <c r="AK49" i="12"/>
  <c r="AU49" i="12" s="1"/>
  <c r="AK49" i="11"/>
  <c r="AU49" i="11" s="1"/>
  <c r="AK49" i="10"/>
  <c r="AU49" i="10" s="1"/>
  <c r="AK49" i="9"/>
  <c r="AU49" i="9" s="1"/>
  <c r="AK49" i="8"/>
  <c r="AU49" i="8" s="1"/>
  <c r="AK49" i="7"/>
  <c r="AU49" i="7" s="1"/>
  <c r="AK49" i="6"/>
  <c r="AU49" i="6" s="1"/>
  <c r="AK49" i="5"/>
  <c r="AU49" i="5" s="1"/>
  <c r="AK49" i="2"/>
  <c r="AU49" i="2" s="1"/>
  <c r="BC48" i="1"/>
  <c r="AQ48" i="14"/>
  <c r="BA48" i="14" s="1"/>
  <c r="AQ48" i="13"/>
  <c r="BA48" i="13" s="1"/>
  <c r="AQ48" i="11"/>
  <c r="BA48" i="11" s="1"/>
  <c r="AQ48" i="10"/>
  <c r="BA48" i="10" s="1"/>
  <c r="AQ48" i="12"/>
  <c r="BA48" i="12" s="1"/>
  <c r="AQ48" i="9"/>
  <c r="BA48" i="9" s="1"/>
  <c r="AQ48" i="8"/>
  <c r="BA48" i="8" s="1"/>
  <c r="AQ48" i="6"/>
  <c r="BA48" i="6" s="1"/>
  <c r="AQ48" i="7"/>
  <c r="BA48" i="7" s="1"/>
  <c r="AQ48" i="5"/>
  <c r="BA48" i="5" s="1"/>
  <c r="AQ48" i="2"/>
  <c r="BA48" i="2" s="1"/>
  <c r="AY48" i="1"/>
  <c r="AM48" i="14"/>
  <c r="AW48" i="14" s="1"/>
  <c r="AM48" i="13"/>
  <c r="AW48" i="13" s="1"/>
  <c r="AM48" i="11"/>
  <c r="AW48" i="11" s="1"/>
  <c r="AM48" i="10"/>
  <c r="AW48" i="10" s="1"/>
  <c r="AM48" i="12"/>
  <c r="AW48" i="12" s="1"/>
  <c r="AM48" i="9"/>
  <c r="AW48" i="9" s="1"/>
  <c r="AM48" i="8"/>
  <c r="AW48" i="8" s="1"/>
  <c r="AM48" i="7"/>
  <c r="AW48" i="7" s="1"/>
  <c r="AM48" i="6"/>
  <c r="AW48" i="6" s="1"/>
  <c r="AM48" i="2"/>
  <c r="AW48" i="2" s="1"/>
  <c r="AM48" i="5"/>
  <c r="AW48" i="5" s="1"/>
  <c r="AU48" i="1"/>
  <c r="AI48" i="13"/>
  <c r="AS48" i="13" s="1"/>
  <c r="AI48" i="12"/>
  <c r="AS48" i="12" s="1"/>
  <c r="AI48" i="11"/>
  <c r="AS48" i="11" s="1"/>
  <c r="AI48" i="10"/>
  <c r="AS48" i="10" s="1"/>
  <c r="AI48" i="9"/>
  <c r="AS48" i="9" s="1"/>
  <c r="AI48" i="14"/>
  <c r="AS48" i="14" s="1"/>
  <c r="AI48" i="8"/>
  <c r="AS48" i="8" s="1"/>
  <c r="AS48" i="6"/>
  <c r="AI48" i="7"/>
  <c r="AS48" i="7" s="1"/>
  <c r="AI48" i="2"/>
  <c r="AS48" i="2" s="1"/>
  <c r="AI48" i="5"/>
  <c r="AS48" i="5" s="1"/>
  <c r="BA47" i="1"/>
  <c r="AO47" i="14"/>
  <c r="AY47" i="14" s="1"/>
  <c r="AO47" i="13"/>
  <c r="AY47" i="13" s="1"/>
  <c r="AO47" i="12"/>
  <c r="AY47" i="12" s="1"/>
  <c r="AO47" i="10"/>
  <c r="AY47" i="10" s="1"/>
  <c r="AO47" i="11"/>
  <c r="AY47" i="11" s="1"/>
  <c r="AO47" i="9"/>
  <c r="AY47" i="9" s="1"/>
  <c r="AO47" i="8"/>
  <c r="AY47" i="8" s="1"/>
  <c r="AO47" i="7"/>
  <c r="AY47" i="7" s="1"/>
  <c r="AO47" i="5"/>
  <c r="AY47" i="5" s="1"/>
  <c r="AO47" i="2"/>
  <c r="AY47" i="2" s="1"/>
  <c r="AO47" i="6"/>
  <c r="AY47" i="6" s="1"/>
  <c r="AW47" i="1"/>
  <c r="AK47" i="14"/>
  <c r="AU47" i="14" s="1"/>
  <c r="AK47" i="12"/>
  <c r="AU47" i="12" s="1"/>
  <c r="AK47" i="13"/>
  <c r="AU47" i="13" s="1"/>
  <c r="AK47" i="10"/>
  <c r="AU47" i="10" s="1"/>
  <c r="AK47" i="11"/>
  <c r="AU47" i="11" s="1"/>
  <c r="AK47" i="9"/>
  <c r="AU47" i="9" s="1"/>
  <c r="AK47" i="8"/>
  <c r="AU47" i="8" s="1"/>
  <c r="AK47" i="5"/>
  <c r="AU47" i="5" s="1"/>
  <c r="AK47" i="6"/>
  <c r="AU47" i="6" s="1"/>
  <c r="AK47" i="2"/>
  <c r="AU47" i="2" s="1"/>
  <c r="AK47" i="7"/>
  <c r="AU47" i="7" s="1"/>
  <c r="BC46" i="1"/>
  <c r="AQ46" i="14"/>
  <c r="BA46" i="14" s="1"/>
  <c r="AQ46" i="13"/>
  <c r="BA46" i="13" s="1"/>
  <c r="AQ46" i="11"/>
  <c r="BA46" i="11" s="1"/>
  <c r="AQ46" i="12"/>
  <c r="BA46" i="12" s="1"/>
  <c r="AQ46" i="9"/>
  <c r="BA46" i="9" s="1"/>
  <c r="AQ46" i="10"/>
  <c r="BA46" i="10" s="1"/>
  <c r="AQ46" i="7"/>
  <c r="BA46" i="7" s="1"/>
  <c r="AQ46" i="8"/>
  <c r="BA46" i="8" s="1"/>
  <c r="AQ46" i="2"/>
  <c r="BA46" i="2" s="1"/>
  <c r="AQ46" i="6"/>
  <c r="BA46" i="6" s="1"/>
  <c r="AQ46" i="5"/>
  <c r="BA46" i="5" s="1"/>
  <c r="AY46" i="1"/>
  <c r="AM46" i="14"/>
  <c r="AW46" i="14" s="1"/>
  <c r="AM46" i="13"/>
  <c r="AW46" i="13" s="1"/>
  <c r="AM46" i="11"/>
  <c r="AW46" i="11" s="1"/>
  <c r="AM46" i="9"/>
  <c r="AW46" i="9" s="1"/>
  <c r="AM46" i="12"/>
  <c r="AW46" i="12" s="1"/>
  <c r="AM46" i="10"/>
  <c r="AW46" i="10" s="1"/>
  <c r="AM46" i="7"/>
  <c r="AW46" i="7" s="1"/>
  <c r="AM46" i="8"/>
  <c r="AW46" i="8" s="1"/>
  <c r="AM46" i="2"/>
  <c r="AW46" i="2" s="1"/>
  <c r="AM46" i="5"/>
  <c r="AW46" i="5" s="1"/>
  <c r="AM46" i="6"/>
  <c r="AW46" i="6" s="1"/>
  <c r="AU46" i="1"/>
  <c r="AI46" i="14"/>
  <c r="AS46" i="14" s="1"/>
  <c r="AI46" i="13"/>
  <c r="AS46" i="13" s="1"/>
  <c r="AI46" i="12"/>
  <c r="AS46" i="12" s="1"/>
  <c r="AI46" i="11"/>
  <c r="AS46" i="11" s="1"/>
  <c r="AI46" i="9"/>
  <c r="AS46" i="9" s="1"/>
  <c r="AI46" i="10"/>
  <c r="AS46" i="10" s="1"/>
  <c r="AI46" i="7"/>
  <c r="AS46" i="7" s="1"/>
  <c r="AI46" i="8"/>
  <c r="AS46" i="8" s="1"/>
  <c r="AI46" i="2"/>
  <c r="AS46" i="2" s="1"/>
  <c r="AI46" i="5"/>
  <c r="AS46" i="5" s="1"/>
  <c r="AS46" i="6"/>
  <c r="BA45" i="1"/>
  <c r="AO45" i="14"/>
  <c r="AY45" i="14" s="1"/>
  <c r="AO45" i="13"/>
  <c r="AY45" i="13" s="1"/>
  <c r="AO45" i="12"/>
  <c r="AY45" i="12" s="1"/>
  <c r="AO45" i="11"/>
  <c r="AY45" i="11" s="1"/>
  <c r="AO45" i="10"/>
  <c r="AY45" i="10" s="1"/>
  <c r="AO45" i="8"/>
  <c r="AY45" i="8" s="1"/>
  <c r="AO45" i="7"/>
  <c r="AY45" i="7" s="1"/>
  <c r="AO45" i="9"/>
  <c r="AY45" i="9" s="1"/>
  <c r="AO45" i="6"/>
  <c r="AY45" i="6" s="1"/>
  <c r="AO45" i="5"/>
  <c r="AY45" i="5" s="1"/>
  <c r="AO45" i="2"/>
  <c r="AY45" i="2" s="1"/>
  <c r="AW45" i="1"/>
  <c r="AK45" i="14"/>
  <c r="AU45" i="14" s="1"/>
  <c r="AK45" i="13"/>
  <c r="AU45" i="13" s="1"/>
  <c r="AK45" i="12"/>
  <c r="AU45" i="12" s="1"/>
  <c r="AK45" i="11"/>
  <c r="AU45" i="11" s="1"/>
  <c r="AK45" i="10"/>
  <c r="AU45" i="10" s="1"/>
  <c r="AK45" i="9"/>
  <c r="AU45" i="9" s="1"/>
  <c r="AK45" i="8"/>
  <c r="AU45" i="8" s="1"/>
  <c r="AK45" i="7"/>
  <c r="AU45" i="7" s="1"/>
  <c r="AK45" i="6"/>
  <c r="AU45" i="6" s="1"/>
  <c r="AK45" i="5"/>
  <c r="AU45" i="5" s="1"/>
  <c r="AK45" i="2"/>
  <c r="AU45" i="2" s="1"/>
  <c r="BC44" i="1"/>
  <c r="AQ44" i="14"/>
  <c r="BA44" i="14" s="1"/>
  <c r="AQ44" i="13"/>
  <c r="BA44" i="13" s="1"/>
  <c r="AQ44" i="11"/>
  <c r="BA44" i="11" s="1"/>
  <c r="AQ44" i="12"/>
  <c r="BA44" i="12" s="1"/>
  <c r="AQ44" i="10"/>
  <c r="BA44" i="10" s="1"/>
  <c r="AQ44" i="9"/>
  <c r="BA44" i="9" s="1"/>
  <c r="AQ44" i="8"/>
  <c r="BA44" i="8" s="1"/>
  <c r="AQ44" i="7"/>
  <c r="BA44" i="7" s="1"/>
  <c r="AQ44" i="6"/>
  <c r="BA44" i="6" s="1"/>
  <c r="AQ44" i="5"/>
  <c r="BA44" i="5" s="1"/>
  <c r="AQ44" i="2"/>
  <c r="BA44" i="2" s="1"/>
  <c r="AY44" i="1"/>
  <c r="AM44" i="14"/>
  <c r="AW44" i="14" s="1"/>
  <c r="AM44" i="13"/>
  <c r="AW44" i="13" s="1"/>
  <c r="AM44" i="11"/>
  <c r="AW44" i="11" s="1"/>
  <c r="AM44" i="12"/>
  <c r="AW44" i="12" s="1"/>
  <c r="AM44" i="10"/>
  <c r="AW44" i="10" s="1"/>
  <c r="AM44" i="9"/>
  <c r="AW44" i="9" s="1"/>
  <c r="AM44" i="8"/>
  <c r="AW44" i="8" s="1"/>
  <c r="AM44" i="6"/>
  <c r="AW44" i="6" s="1"/>
  <c r="AM44" i="7"/>
  <c r="AW44" i="7" s="1"/>
  <c r="AM44" i="2"/>
  <c r="AW44" i="2" s="1"/>
  <c r="AM44" i="5"/>
  <c r="AW44" i="5" s="1"/>
  <c r="AU44" i="1"/>
  <c r="AI44" i="14"/>
  <c r="AS44" i="14" s="1"/>
  <c r="AI44" i="13"/>
  <c r="AS44" i="13" s="1"/>
  <c r="AI44" i="12"/>
  <c r="AS44" i="12" s="1"/>
  <c r="AI44" i="11"/>
  <c r="AS44" i="11" s="1"/>
  <c r="AI44" i="10"/>
  <c r="AS44" i="10" s="1"/>
  <c r="AI44" i="9"/>
  <c r="AS44" i="9" s="1"/>
  <c r="AI44" i="8"/>
  <c r="AS44" i="8" s="1"/>
  <c r="AI44" i="7"/>
  <c r="AS44" i="7" s="1"/>
  <c r="AS44" i="6"/>
  <c r="AI44" i="2"/>
  <c r="AS44" i="2" s="1"/>
  <c r="AI44" i="5"/>
  <c r="AS44" i="5" s="1"/>
  <c r="BA79" i="1"/>
  <c r="AO79" i="14"/>
  <c r="AY79" i="14" s="1"/>
  <c r="AO79" i="13"/>
  <c r="AY79" i="13" s="1"/>
  <c r="AO79" i="12"/>
  <c r="AY79" i="12" s="1"/>
  <c r="AO79" i="11"/>
  <c r="AY79" i="11" s="1"/>
  <c r="AO79" i="10"/>
  <c r="AY79" i="10" s="1"/>
  <c r="AO79" i="9"/>
  <c r="AY79" i="9" s="1"/>
  <c r="AO79" i="8"/>
  <c r="AY79" i="8" s="1"/>
  <c r="AO79" i="7"/>
  <c r="AY79" i="7" s="1"/>
  <c r="AO79" i="6"/>
  <c r="AY79" i="6" s="1"/>
  <c r="AO79" i="5"/>
  <c r="AY79" i="5" s="1"/>
  <c r="AO79" i="2"/>
  <c r="AY79" i="2" s="1"/>
  <c r="AW79" i="1"/>
  <c r="AK79" i="14"/>
  <c r="AU79" i="14" s="1"/>
  <c r="AK79" i="13"/>
  <c r="AU79" i="13" s="1"/>
  <c r="AK79" i="12"/>
  <c r="AU79" i="12" s="1"/>
  <c r="AK79" i="11"/>
  <c r="AU79" i="11" s="1"/>
  <c r="AK79" i="10"/>
  <c r="AU79" i="10" s="1"/>
  <c r="AK79" i="9"/>
  <c r="AU79" i="9" s="1"/>
  <c r="AK79" i="8"/>
  <c r="AU79" i="8" s="1"/>
  <c r="AK79" i="7"/>
  <c r="AU79" i="7" s="1"/>
  <c r="AK79" i="6"/>
  <c r="AU79" i="6" s="1"/>
  <c r="AK79" i="5"/>
  <c r="AU79" i="5" s="1"/>
  <c r="AK79" i="2"/>
  <c r="AU79" i="2" s="1"/>
  <c r="BC78" i="1"/>
  <c r="AQ78" i="14"/>
  <c r="BA78" i="14" s="1"/>
  <c r="AQ78" i="13"/>
  <c r="BA78" i="13" s="1"/>
  <c r="AQ78" i="12"/>
  <c r="BA78" i="12" s="1"/>
  <c r="AQ78" i="11"/>
  <c r="BA78" i="11" s="1"/>
  <c r="AQ78" i="10"/>
  <c r="BA78" i="10" s="1"/>
  <c r="AQ78" i="9"/>
  <c r="BA78" i="9" s="1"/>
  <c r="AQ78" i="8"/>
  <c r="BA78" i="8" s="1"/>
  <c r="AQ78" i="7"/>
  <c r="BA78" i="7" s="1"/>
  <c r="AQ78" i="6"/>
  <c r="BA78" i="6" s="1"/>
  <c r="AQ78" i="5"/>
  <c r="BA78" i="5" s="1"/>
  <c r="AQ78" i="2"/>
  <c r="BA78" i="2" s="1"/>
  <c r="AY78" i="1"/>
  <c r="AM78" i="14"/>
  <c r="AW78" i="14" s="1"/>
  <c r="AM78" i="13"/>
  <c r="AW78" i="13" s="1"/>
  <c r="AM78" i="12"/>
  <c r="AW78" i="12" s="1"/>
  <c r="AM78" i="11"/>
  <c r="AW78" i="11" s="1"/>
  <c r="AM78" i="10"/>
  <c r="AW78" i="10" s="1"/>
  <c r="AM78" i="9"/>
  <c r="AW78" i="9" s="1"/>
  <c r="AM78" i="8"/>
  <c r="AW78" i="8" s="1"/>
  <c r="AM78" i="7"/>
  <c r="AW78" i="7" s="1"/>
  <c r="AM78" i="6"/>
  <c r="AW78" i="6" s="1"/>
  <c r="AM78" i="5"/>
  <c r="AW78" i="5" s="1"/>
  <c r="AM78" i="2"/>
  <c r="AW78" i="2" s="1"/>
  <c r="AU78" i="1"/>
  <c r="AI78" i="14"/>
  <c r="AS78" i="14" s="1"/>
  <c r="AI78" i="13"/>
  <c r="AS78" i="13" s="1"/>
  <c r="AI78" i="12"/>
  <c r="AS78" i="12" s="1"/>
  <c r="AI78" i="11"/>
  <c r="AS78" i="11" s="1"/>
  <c r="AI78" i="10"/>
  <c r="AS78" i="10" s="1"/>
  <c r="AI78" i="9"/>
  <c r="AS78" i="9" s="1"/>
  <c r="AI78" i="8"/>
  <c r="AS78" i="8" s="1"/>
  <c r="AI78" i="7"/>
  <c r="AS78" i="7" s="1"/>
  <c r="AS78" i="6"/>
  <c r="AI78" i="5"/>
  <c r="AS78" i="5" s="1"/>
  <c r="AI78" i="2"/>
  <c r="AS78" i="2" s="1"/>
  <c r="BA77" i="1"/>
  <c r="AO77" i="14"/>
  <c r="AY77" i="14" s="1"/>
  <c r="AO77" i="13"/>
  <c r="AY77" i="13" s="1"/>
  <c r="AO77" i="12"/>
  <c r="AY77" i="12" s="1"/>
  <c r="AO77" i="11"/>
  <c r="AY77" i="11" s="1"/>
  <c r="AO77" i="10"/>
  <c r="AY77" i="10" s="1"/>
  <c r="AO77" i="9"/>
  <c r="AY77" i="9" s="1"/>
  <c r="AO77" i="8"/>
  <c r="AY77" i="8" s="1"/>
  <c r="AO77" i="7"/>
  <c r="AY77" i="7" s="1"/>
  <c r="AO77" i="6"/>
  <c r="AY77" i="6" s="1"/>
  <c r="AO77" i="2"/>
  <c r="AY77" i="2" s="1"/>
  <c r="AO77" i="5"/>
  <c r="AY77" i="5" s="1"/>
  <c r="AW77" i="1"/>
  <c r="AK77" i="13"/>
  <c r="AU77" i="13" s="1"/>
  <c r="AK77" i="14"/>
  <c r="AU77" i="14" s="1"/>
  <c r="AK77" i="12"/>
  <c r="AU77" i="12" s="1"/>
  <c r="AK77" i="11"/>
  <c r="AU77" i="11" s="1"/>
  <c r="AK77" i="10"/>
  <c r="AU77" i="10" s="1"/>
  <c r="AK77" i="9"/>
  <c r="AU77" i="9" s="1"/>
  <c r="AK77" i="8"/>
  <c r="AU77" i="8" s="1"/>
  <c r="AK77" i="7"/>
  <c r="AU77" i="7" s="1"/>
  <c r="AK77" i="6"/>
  <c r="AU77" i="6" s="1"/>
  <c r="AK77" i="2"/>
  <c r="AU77" i="2" s="1"/>
  <c r="AK77" i="5"/>
  <c r="AU77" i="5" s="1"/>
  <c r="BC76" i="1"/>
  <c r="AQ76" i="14"/>
  <c r="BA76" i="14" s="1"/>
  <c r="AQ76" i="12"/>
  <c r="BA76" i="12" s="1"/>
  <c r="AQ76" i="13"/>
  <c r="BA76" i="13" s="1"/>
  <c r="AQ76" i="11"/>
  <c r="BA76" i="11" s="1"/>
  <c r="AQ76" i="10"/>
  <c r="BA76" i="10" s="1"/>
  <c r="AQ76" i="9"/>
  <c r="BA76" i="9" s="1"/>
  <c r="AQ76" i="8"/>
  <c r="BA76" i="8" s="1"/>
  <c r="AQ76" i="7"/>
  <c r="BA76" i="7" s="1"/>
  <c r="AQ76" i="6"/>
  <c r="BA76" i="6" s="1"/>
  <c r="AQ76" i="5"/>
  <c r="BA76" i="5" s="1"/>
  <c r="AQ76" i="2"/>
  <c r="BA76" i="2" s="1"/>
  <c r="AY76" i="1"/>
  <c r="AM76" i="14"/>
  <c r="AW76" i="14" s="1"/>
  <c r="AM76" i="13"/>
  <c r="AW76" i="13" s="1"/>
  <c r="AM76" i="12"/>
  <c r="AW76" i="12" s="1"/>
  <c r="AM76" i="11"/>
  <c r="AW76" i="11" s="1"/>
  <c r="AM76" i="10"/>
  <c r="AW76" i="10" s="1"/>
  <c r="AM76" i="9"/>
  <c r="AW76" i="9" s="1"/>
  <c r="AM76" i="8"/>
  <c r="AW76" i="8" s="1"/>
  <c r="AM76" i="7"/>
  <c r="AW76" i="7" s="1"/>
  <c r="AM76" i="6"/>
  <c r="AW76" i="6" s="1"/>
  <c r="AM76" i="5"/>
  <c r="AW76" i="5" s="1"/>
  <c r="AM76" i="2"/>
  <c r="AW76" i="2" s="1"/>
  <c r="AU76" i="1"/>
  <c r="AI76" i="14"/>
  <c r="AS76" i="14" s="1"/>
  <c r="AI76" i="13"/>
  <c r="AS76" i="13" s="1"/>
  <c r="AI76" i="12"/>
  <c r="AS76" i="12" s="1"/>
  <c r="AI76" i="11"/>
  <c r="AS76" i="11" s="1"/>
  <c r="AI76" i="10"/>
  <c r="AS76" i="10" s="1"/>
  <c r="AI76" i="9"/>
  <c r="AS76" i="9" s="1"/>
  <c r="AI76" i="8"/>
  <c r="AS76" i="8" s="1"/>
  <c r="AI76" i="7"/>
  <c r="AS76" i="7" s="1"/>
  <c r="AS76" i="6"/>
  <c r="AI76" i="5"/>
  <c r="AS76" i="5" s="1"/>
  <c r="AI76" i="2"/>
  <c r="AS76" i="2" s="1"/>
  <c r="BA75" i="1"/>
  <c r="AO75" i="14"/>
  <c r="AY75" i="14" s="1"/>
  <c r="AO75" i="13"/>
  <c r="AY75" i="13" s="1"/>
  <c r="AO75" i="12"/>
  <c r="AY75" i="12" s="1"/>
  <c r="AO75" i="11"/>
  <c r="AY75" i="11" s="1"/>
  <c r="AO75" i="10"/>
  <c r="AY75" i="10" s="1"/>
  <c r="AO75" i="9"/>
  <c r="AY75" i="9" s="1"/>
  <c r="AO75" i="8"/>
  <c r="AY75" i="8" s="1"/>
  <c r="AO75" i="7"/>
  <c r="AY75" i="7" s="1"/>
  <c r="AO75" i="5"/>
  <c r="AY75" i="5" s="1"/>
  <c r="AO75" i="6"/>
  <c r="AY75" i="6" s="1"/>
  <c r="AO75" i="2"/>
  <c r="AY75" i="2" s="1"/>
  <c r="AW75" i="1"/>
  <c r="AK75" i="14"/>
  <c r="AU75" i="14" s="1"/>
  <c r="AK75" i="13"/>
  <c r="AU75" i="13" s="1"/>
  <c r="AK75" i="12"/>
  <c r="AU75" i="12" s="1"/>
  <c r="AK75" i="11"/>
  <c r="AU75" i="11" s="1"/>
  <c r="AK75" i="10"/>
  <c r="AU75" i="10" s="1"/>
  <c r="AK75" i="9"/>
  <c r="AU75" i="9" s="1"/>
  <c r="AK75" i="8"/>
  <c r="AU75" i="8" s="1"/>
  <c r="AK75" i="7"/>
  <c r="AU75" i="7" s="1"/>
  <c r="AK75" i="5"/>
  <c r="AU75" i="5" s="1"/>
  <c r="AK75" i="6"/>
  <c r="AU75" i="6" s="1"/>
  <c r="AK75" i="2"/>
  <c r="AU75" i="2" s="1"/>
  <c r="BC74" i="1"/>
  <c r="AQ74" i="14"/>
  <c r="BA74" i="14" s="1"/>
  <c r="AQ74" i="13"/>
  <c r="BA74" i="13" s="1"/>
  <c r="AQ74" i="12"/>
  <c r="BA74" i="12" s="1"/>
  <c r="AQ74" i="11"/>
  <c r="BA74" i="11" s="1"/>
  <c r="AQ74" i="10"/>
  <c r="BA74" i="10" s="1"/>
  <c r="AQ74" i="9"/>
  <c r="BA74" i="9" s="1"/>
  <c r="AQ74" i="8"/>
  <c r="BA74" i="8" s="1"/>
  <c r="AQ74" i="7"/>
  <c r="BA74" i="7" s="1"/>
  <c r="AQ74" i="5"/>
  <c r="BA74" i="5" s="1"/>
  <c r="AQ74" i="6"/>
  <c r="BA74" i="6" s="1"/>
  <c r="AQ74" i="2"/>
  <c r="BA74" i="2" s="1"/>
  <c r="AY74" i="1"/>
  <c r="AM74" i="14"/>
  <c r="AW74" i="14" s="1"/>
  <c r="AM74" i="13"/>
  <c r="AW74" i="13" s="1"/>
  <c r="AM74" i="12"/>
  <c r="AW74" i="12" s="1"/>
  <c r="AM74" i="11"/>
  <c r="AW74" i="11" s="1"/>
  <c r="AM74" i="10"/>
  <c r="AW74" i="10" s="1"/>
  <c r="AM74" i="9"/>
  <c r="AW74" i="9" s="1"/>
  <c r="AM74" i="8"/>
  <c r="AW74" i="8" s="1"/>
  <c r="AM74" i="7"/>
  <c r="AW74" i="7" s="1"/>
  <c r="AM74" i="5"/>
  <c r="AW74" i="5" s="1"/>
  <c r="AM74" i="6"/>
  <c r="AW74" i="6" s="1"/>
  <c r="AM74" i="2"/>
  <c r="AW74" i="2" s="1"/>
  <c r="AU74" i="1"/>
  <c r="AI74" i="14"/>
  <c r="AS74" i="14" s="1"/>
  <c r="AI74" i="13"/>
  <c r="AS74" i="13" s="1"/>
  <c r="AI74" i="12"/>
  <c r="AS74" i="12" s="1"/>
  <c r="AI74" i="11"/>
  <c r="AS74" i="11" s="1"/>
  <c r="AI74" i="10"/>
  <c r="AS74" i="10" s="1"/>
  <c r="AI74" i="9"/>
  <c r="AS74" i="9" s="1"/>
  <c r="AI74" i="8"/>
  <c r="AS74" i="8" s="1"/>
  <c r="AI74" i="7"/>
  <c r="AS74" i="7" s="1"/>
  <c r="AI74" i="5"/>
  <c r="AS74" i="5" s="1"/>
  <c r="AS74" i="6"/>
  <c r="AI74" i="2"/>
  <c r="AS74" i="2" s="1"/>
  <c r="BA73" i="1"/>
  <c r="AO73" i="14"/>
  <c r="AY73" i="14" s="1"/>
  <c r="AO73" i="13"/>
  <c r="AY73" i="13" s="1"/>
  <c r="AO73" i="12"/>
  <c r="AY73" i="12" s="1"/>
  <c r="AO73" i="11"/>
  <c r="AY73" i="11" s="1"/>
  <c r="AO73" i="10"/>
  <c r="AY73" i="10" s="1"/>
  <c r="AO73" i="9"/>
  <c r="AY73" i="9" s="1"/>
  <c r="AO73" i="8"/>
  <c r="AY73" i="8" s="1"/>
  <c r="AO73" i="7"/>
  <c r="AY73" i="7" s="1"/>
  <c r="AO73" i="6"/>
  <c r="AY73" i="6" s="1"/>
  <c r="AO73" i="5"/>
  <c r="AY73" i="5" s="1"/>
  <c r="AO73" i="2"/>
  <c r="AY73" i="2" s="1"/>
  <c r="AW73" i="1"/>
  <c r="AK73" i="14"/>
  <c r="AU73" i="14" s="1"/>
  <c r="AK73" i="13"/>
  <c r="AU73" i="13" s="1"/>
  <c r="AK73" i="12"/>
  <c r="AU73" i="12" s="1"/>
  <c r="AK73" i="11"/>
  <c r="AU73" i="11" s="1"/>
  <c r="AK73" i="10"/>
  <c r="AU73" i="10" s="1"/>
  <c r="AK73" i="9"/>
  <c r="AU73" i="9" s="1"/>
  <c r="AK73" i="8"/>
  <c r="AU73" i="8" s="1"/>
  <c r="AK73" i="7"/>
  <c r="AU73" i="7" s="1"/>
  <c r="AK73" i="6"/>
  <c r="AU73" i="6" s="1"/>
  <c r="AK73" i="5"/>
  <c r="AU73" i="5" s="1"/>
  <c r="AK73" i="2"/>
  <c r="AU73" i="2" s="1"/>
  <c r="BC72" i="1"/>
  <c r="AQ72" i="14"/>
  <c r="BA72" i="14" s="1"/>
  <c r="AQ72" i="13"/>
  <c r="BA72" i="13" s="1"/>
  <c r="AQ72" i="12"/>
  <c r="BA72" i="12" s="1"/>
  <c r="AQ72" i="11"/>
  <c r="BA72" i="11" s="1"/>
  <c r="AQ72" i="10"/>
  <c r="BA72" i="10" s="1"/>
  <c r="AQ72" i="9"/>
  <c r="BA72" i="9" s="1"/>
  <c r="AQ72" i="8"/>
  <c r="BA72" i="8" s="1"/>
  <c r="AQ72" i="7"/>
  <c r="BA72" i="7" s="1"/>
  <c r="AQ72" i="5"/>
  <c r="BA72" i="5" s="1"/>
  <c r="AQ72" i="6"/>
  <c r="BA72" i="6" s="1"/>
  <c r="AQ72" i="2"/>
  <c r="BA72" i="2" s="1"/>
  <c r="AY72" i="1"/>
  <c r="AM72" i="14"/>
  <c r="AW72" i="14" s="1"/>
  <c r="AM72" i="13"/>
  <c r="AW72" i="13" s="1"/>
  <c r="AM72" i="12"/>
  <c r="AW72" i="12" s="1"/>
  <c r="AM72" i="11"/>
  <c r="AW72" i="11" s="1"/>
  <c r="AM72" i="10"/>
  <c r="AW72" i="10" s="1"/>
  <c r="AM72" i="9"/>
  <c r="AW72" i="9" s="1"/>
  <c r="AM72" i="8"/>
  <c r="AW72" i="8" s="1"/>
  <c r="AM72" i="7"/>
  <c r="AW72" i="7" s="1"/>
  <c r="AM72" i="5"/>
  <c r="AW72" i="5" s="1"/>
  <c r="AM72" i="6"/>
  <c r="AW72" i="6" s="1"/>
  <c r="AM72" i="2"/>
  <c r="AW72" i="2" s="1"/>
  <c r="AU72" i="1"/>
  <c r="AI72" i="14"/>
  <c r="AS72" i="14" s="1"/>
  <c r="AI72" i="13"/>
  <c r="AS72" i="13" s="1"/>
  <c r="AI72" i="12"/>
  <c r="AS72" i="12" s="1"/>
  <c r="AI72" i="11"/>
  <c r="AS72" i="11" s="1"/>
  <c r="AI72" i="10"/>
  <c r="AS72" i="10" s="1"/>
  <c r="AI72" i="9"/>
  <c r="AS72" i="9" s="1"/>
  <c r="AI72" i="8"/>
  <c r="AS72" i="8" s="1"/>
  <c r="AI72" i="7"/>
  <c r="AS72" i="7" s="1"/>
  <c r="AI72" i="5"/>
  <c r="AS72" i="5" s="1"/>
  <c r="AS72" i="6"/>
  <c r="AI72" i="2"/>
  <c r="AS72" i="2" s="1"/>
  <c r="AT34" i="1"/>
  <c r="AK34" i="1"/>
  <c r="AI34" i="6" s="1"/>
  <c r="AL34" i="1"/>
  <c r="AM34" i="1"/>
  <c r="AN34" i="1"/>
  <c r="AO34" i="1"/>
  <c r="AP34" i="1"/>
  <c r="AQ34" i="1"/>
  <c r="AR34" i="1"/>
  <c r="AS34" i="1"/>
  <c r="AT35" i="1"/>
  <c r="AK35" i="1"/>
  <c r="AI35" i="6" s="1"/>
  <c r="AL35" i="1"/>
  <c r="AM35" i="1"/>
  <c r="AN35" i="1"/>
  <c r="AO35" i="1"/>
  <c r="AP35" i="1"/>
  <c r="AQ35" i="1"/>
  <c r="AR35" i="1"/>
  <c r="AS35" i="1"/>
  <c r="AT36" i="1"/>
  <c r="AK36" i="1"/>
  <c r="AI36" i="6" s="1"/>
  <c r="AL36" i="1"/>
  <c r="AM36" i="1"/>
  <c r="AN36" i="1"/>
  <c r="AO36" i="1"/>
  <c r="AP36" i="1"/>
  <c r="AQ36" i="1"/>
  <c r="AR36" i="1"/>
  <c r="AS36" i="1"/>
  <c r="AT37" i="1"/>
  <c r="AK37" i="1"/>
  <c r="AI37" i="6" s="1"/>
  <c r="AL37" i="1"/>
  <c r="AM37" i="1"/>
  <c r="AN37" i="1"/>
  <c r="AO37" i="1"/>
  <c r="AP37" i="1"/>
  <c r="AQ37" i="1"/>
  <c r="AR37" i="1"/>
  <c r="AS37" i="1"/>
  <c r="AT38" i="1"/>
  <c r="AK38" i="1"/>
  <c r="AI38" i="6" s="1"/>
  <c r="AL38" i="1"/>
  <c r="AM38" i="1"/>
  <c r="AN38" i="1"/>
  <c r="AO38" i="1"/>
  <c r="AP38" i="1"/>
  <c r="AQ38" i="1"/>
  <c r="AR38" i="1"/>
  <c r="AS38" i="1"/>
  <c r="AT39" i="1"/>
  <c r="AK39" i="1"/>
  <c r="AI39" i="6" s="1"/>
  <c r="AL39" i="1"/>
  <c r="AM39" i="1"/>
  <c r="AN39" i="1"/>
  <c r="AO39" i="1"/>
  <c r="AP39" i="1"/>
  <c r="AQ39" i="1"/>
  <c r="AR39" i="1"/>
  <c r="AS39" i="1"/>
  <c r="AJ10" i="1"/>
  <c r="AH10" i="6" s="1"/>
  <c r="AK10" i="1"/>
  <c r="AI10" i="6" s="1"/>
  <c r="AL10" i="1"/>
  <c r="AM10" i="1"/>
  <c r="AN10" i="1"/>
  <c r="AO10" i="1"/>
  <c r="AP10" i="1"/>
  <c r="AQ10" i="1"/>
  <c r="AR10" i="1"/>
  <c r="AS10" i="1"/>
  <c r="AJ11" i="1"/>
  <c r="AH11" i="6" s="1"/>
  <c r="AK11" i="1"/>
  <c r="AI11" i="6" s="1"/>
  <c r="AL11" i="1"/>
  <c r="AM11" i="1"/>
  <c r="AN11" i="1"/>
  <c r="AO11" i="1"/>
  <c r="AP11" i="1"/>
  <c r="AQ11" i="1"/>
  <c r="AR11" i="1"/>
  <c r="AS11" i="1"/>
  <c r="AJ12" i="1"/>
  <c r="AH12" i="6" s="1"/>
  <c r="AK12" i="1"/>
  <c r="AI12" i="6" s="1"/>
  <c r="AL12" i="1"/>
  <c r="AM12" i="1"/>
  <c r="AN12" i="1"/>
  <c r="AO12" i="1"/>
  <c r="AP12" i="1"/>
  <c r="AQ12" i="1"/>
  <c r="AR12" i="1"/>
  <c r="AS12" i="1"/>
  <c r="AJ13" i="1"/>
  <c r="AH13" i="6" s="1"/>
  <c r="AK13" i="1"/>
  <c r="AI13" i="6" s="1"/>
  <c r="AL13" i="1"/>
  <c r="AM13" i="1"/>
  <c r="AN13" i="1"/>
  <c r="AO13" i="1"/>
  <c r="AP13" i="1"/>
  <c r="AQ13" i="1"/>
  <c r="AR13" i="1"/>
  <c r="AS13" i="1"/>
  <c r="BC13" i="1" l="1"/>
  <c r="AQ13" i="14"/>
  <c r="BA13" i="14" s="1"/>
  <c r="AQ13" i="13"/>
  <c r="BA13" i="13" s="1"/>
  <c r="AQ13" i="11"/>
  <c r="BA13" i="11" s="1"/>
  <c r="AQ13" i="12"/>
  <c r="BA13" i="12" s="1"/>
  <c r="AQ13" i="10"/>
  <c r="BA13" i="10" s="1"/>
  <c r="AQ13" i="9"/>
  <c r="BA13" i="9" s="1"/>
  <c r="AQ13" i="5"/>
  <c r="BA13" i="5" s="1"/>
  <c r="AQ13" i="2"/>
  <c r="BA13" i="2" s="1"/>
  <c r="AQ13" i="8"/>
  <c r="BA13" i="8" s="1"/>
  <c r="AQ13" i="7"/>
  <c r="BA13" i="7" s="1"/>
  <c r="AQ13" i="6"/>
  <c r="BA13" i="6" s="1"/>
  <c r="BA12" i="1"/>
  <c r="AO12" i="14"/>
  <c r="AY12" i="14" s="1"/>
  <c r="AO12" i="13"/>
  <c r="AY12" i="13" s="1"/>
  <c r="AO12" i="11"/>
  <c r="AY12" i="11" s="1"/>
  <c r="AO12" i="12"/>
  <c r="AY12" i="12" s="1"/>
  <c r="AO12" i="9"/>
  <c r="AY12" i="9" s="1"/>
  <c r="AO12" i="10"/>
  <c r="AY12" i="10" s="1"/>
  <c r="AO12" i="8"/>
  <c r="AY12" i="8" s="1"/>
  <c r="AO12" i="7"/>
  <c r="AY12" i="7" s="1"/>
  <c r="AO12" i="6"/>
  <c r="AY12" i="6" s="1"/>
  <c r="AO12" i="2"/>
  <c r="AY12" i="2" s="1"/>
  <c r="AO12" i="5"/>
  <c r="AY12" i="5" s="1"/>
  <c r="AY11" i="1"/>
  <c r="AM11" i="14"/>
  <c r="AW11" i="14" s="1"/>
  <c r="AM11" i="13"/>
  <c r="AW11" i="13" s="1"/>
  <c r="AM11" i="12"/>
  <c r="AW11" i="12" s="1"/>
  <c r="AM11" i="10"/>
  <c r="AW11" i="10" s="1"/>
  <c r="AM11" i="11"/>
  <c r="AW11" i="11" s="1"/>
  <c r="AM11" i="8"/>
  <c r="AW11" i="8" s="1"/>
  <c r="AM11" i="9"/>
  <c r="AW11" i="9" s="1"/>
  <c r="AM11" i="2"/>
  <c r="AW11" i="2" s="1"/>
  <c r="AM11" i="7"/>
  <c r="AW11" i="7" s="1"/>
  <c r="AM11" i="6"/>
  <c r="AW11" i="6" s="1"/>
  <c r="AM11" i="5"/>
  <c r="AW11" i="5" s="1"/>
  <c r="AW10" i="1"/>
  <c r="AK10" i="14"/>
  <c r="AU10" i="14" s="1"/>
  <c r="AK10" i="13"/>
  <c r="AU10" i="13" s="1"/>
  <c r="AK10" i="12"/>
  <c r="AU10" i="12" s="1"/>
  <c r="AK10" i="11"/>
  <c r="AU10" i="11" s="1"/>
  <c r="AK10" i="8"/>
  <c r="AU10" i="8" s="1"/>
  <c r="AK10" i="10"/>
  <c r="AU10" i="10" s="1"/>
  <c r="AK10" i="9"/>
  <c r="AU10" i="9" s="1"/>
  <c r="AK10" i="7"/>
  <c r="AU10" i="7" s="1"/>
  <c r="AK10" i="6"/>
  <c r="AU10" i="6" s="1"/>
  <c r="AK10" i="2"/>
  <c r="AU10" i="2" s="1"/>
  <c r="AK10" i="5"/>
  <c r="AU10" i="5" s="1"/>
  <c r="AU39" i="1"/>
  <c r="AI39" i="13"/>
  <c r="AS39" i="13" s="1"/>
  <c r="AI39" i="14"/>
  <c r="AS39" i="14" s="1"/>
  <c r="AI39" i="12"/>
  <c r="AS39" i="12" s="1"/>
  <c r="AI39" i="11"/>
  <c r="AS39" i="11" s="1"/>
  <c r="AI39" i="9"/>
  <c r="AS39" i="9" s="1"/>
  <c r="AI39" i="8"/>
  <c r="AS39" i="8" s="1"/>
  <c r="AI39" i="10"/>
  <c r="AS39" i="10" s="1"/>
  <c r="AI39" i="7"/>
  <c r="AS39" i="7" s="1"/>
  <c r="AI39" i="2"/>
  <c r="AS39" i="2" s="1"/>
  <c r="AI39" i="5"/>
  <c r="AS39" i="5" s="1"/>
  <c r="AS39" i="6"/>
  <c r="BC37" i="1"/>
  <c r="AQ37" i="14"/>
  <c r="BA37" i="14" s="1"/>
  <c r="AQ37" i="13"/>
  <c r="BA37" i="13" s="1"/>
  <c r="AQ37" i="12"/>
  <c r="BA37" i="12" s="1"/>
  <c r="AQ37" i="11"/>
  <c r="BA37" i="11" s="1"/>
  <c r="AQ37" i="9"/>
  <c r="BA37" i="9" s="1"/>
  <c r="AQ37" i="10"/>
  <c r="BA37" i="10" s="1"/>
  <c r="AQ37" i="8"/>
  <c r="BA37" i="8" s="1"/>
  <c r="AQ37" i="2"/>
  <c r="BA37" i="2" s="1"/>
  <c r="AQ37" i="6"/>
  <c r="BA37" i="6" s="1"/>
  <c r="AQ37" i="5"/>
  <c r="BA37" i="5" s="1"/>
  <c r="AQ37" i="7"/>
  <c r="BA37" i="7" s="1"/>
  <c r="BA36" i="1"/>
  <c r="AO36" i="14"/>
  <c r="AY36" i="14" s="1"/>
  <c r="AO36" i="13"/>
  <c r="AY36" i="13" s="1"/>
  <c r="AO36" i="12"/>
  <c r="AY36" i="12" s="1"/>
  <c r="AO36" i="10"/>
  <c r="AY36" i="10" s="1"/>
  <c r="AO36" i="11"/>
  <c r="AY36" i="11" s="1"/>
  <c r="AO36" i="9"/>
  <c r="AY36" i="9" s="1"/>
  <c r="AO36" i="2"/>
  <c r="AY36" i="2" s="1"/>
  <c r="AO36" i="7"/>
  <c r="AY36" i="7" s="1"/>
  <c r="AO36" i="6"/>
  <c r="AY36" i="6" s="1"/>
  <c r="AO36" i="8"/>
  <c r="AY36" i="8" s="1"/>
  <c r="AO36" i="5"/>
  <c r="AY36" i="5" s="1"/>
  <c r="AY35" i="1"/>
  <c r="AM35" i="14"/>
  <c r="AW35" i="14" s="1"/>
  <c r="AM35" i="13"/>
  <c r="AW35" i="13" s="1"/>
  <c r="AM35" i="11"/>
  <c r="AW35" i="11" s="1"/>
  <c r="AM35" i="12"/>
  <c r="AW35" i="12" s="1"/>
  <c r="AM35" i="9"/>
  <c r="AW35" i="9" s="1"/>
  <c r="AM35" i="10"/>
  <c r="AW35" i="10" s="1"/>
  <c r="AM35" i="8"/>
  <c r="AW35" i="8" s="1"/>
  <c r="AM35" i="7"/>
  <c r="AW35" i="7" s="1"/>
  <c r="AM35" i="6"/>
  <c r="AW35" i="6" s="1"/>
  <c r="AM35" i="5"/>
  <c r="AW35" i="5" s="1"/>
  <c r="AM35" i="2"/>
  <c r="AW35" i="2" s="1"/>
  <c r="AX13" i="1"/>
  <c r="AL13" i="14"/>
  <c r="AV13" i="14" s="1"/>
  <c r="AL13" i="13"/>
  <c r="AV13" i="13" s="1"/>
  <c r="AL13" i="11"/>
  <c r="AV13" i="11" s="1"/>
  <c r="AL13" i="10"/>
  <c r="AV13" i="10" s="1"/>
  <c r="AL13" i="12"/>
  <c r="AV13" i="12" s="1"/>
  <c r="AL13" i="8"/>
  <c r="AV13" i="8" s="1"/>
  <c r="AL13" i="9"/>
  <c r="AV13" i="9" s="1"/>
  <c r="AL13" i="5"/>
  <c r="AV13" i="5" s="1"/>
  <c r="AL13" i="7"/>
  <c r="AV13" i="7" s="1"/>
  <c r="AL13" i="6"/>
  <c r="AV13" i="6" s="1"/>
  <c r="AL13" i="2"/>
  <c r="AV13" i="2" s="1"/>
  <c r="AV12" i="1"/>
  <c r="AJ12" i="14"/>
  <c r="AT12" i="14" s="1"/>
  <c r="AJ12" i="13"/>
  <c r="AT12" i="13" s="1"/>
  <c r="AJ12" i="12"/>
  <c r="AT12" i="12" s="1"/>
  <c r="AJ12" i="9"/>
  <c r="AT12" i="9" s="1"/>
  <c r="AJ12" i="10"/>
  <c r="AT12" i="10" s="1"/>
  <c r="AJ12" i="7"/>
  <c r="AT12" i="7" s="1"/>
  <c r="AJ12" i="6"/>
  <c r="AT12" i="6" s="1"/>
  <c r="AJ12" i="2"/>
  <c r="AT12" i="2" s="1"/>
  <c r="AJ12" i="11"/>
  <c r="AT12" i="11" s="1"/>
  <c r="AJ12" i="8"/>
  <c r="AT12" i="8" s="1"/>
  <c r="AJ12" i="5"/>
  <c r="AT12" i="5" s="1"/>
  <c r="AX11" i="1"/>
  <c r="AL11" i="13"/>
  <c r="AV11" i="13" s="1"/>
  <c r="AL11" i="14"/>
  <c r="AV11" i="14" s="1"/>
  <c r="AL11" i="12"/>
  <c r="AV11" i="12" s="1"/>
  <c r="AL11" i="10"/>
  <c r="AV11" i="10" s="1"/>
  <c r="AL11" i="11"/>
  <c r="AV11" i="11" s="1"/>
  <c r="AL11" i="8"/>
  <c r="AV11" i="8" s="1"/>
  <c r="AL11" i="9"/>
  <c r="AV11" i="9" s="1"/>
  <c r="AL11" i="7"/>
  <c r="AV11" i="7" s="1"/>
  <c r="AL11" i="6"/>
  <c r="AV11" i="6" s="1"/>
  <c r="AL11" i="5"/>
  <c r="AV11" i="5" s="1"/>
  <c r="AL11" i="2"/>
  <c r="AV11" i="2" s="1"/>
  <c r="AV10" i="1"/>
  <c r="AJ10" i="14"/>
  <c r="AT10" i="14" s="1"/>
  <c r="AJ10" i="11"/>
  <c r="AT10" i="11" s="1"/>
  <c r="AJ10" i="12"/>
  <c r="AT10" i="12" s="1"/>
  <c r="AJ10" i="8"/>
  <c r="AT10" i="8" s="1"/>
  <c r="AJ10" i="13"/>
  <c r="AT10" i="13" s="1"/>
  <c r="AJ10" i="9"/>
  <c r="AT10" i="9" s="1"/>
  <c r="AJ10" i="5"/>
  <c r="AT10" i="5" s="1"/>
  <c r="AJ10" i="10"/>
  <c r="AT10" i="10" s="1"/>
  <c r="AJ10" i="7"/>
  <c r="AT10" i="7" s="1"/>
  <c r="AJ10" i="6"/>
  <c r="AT10" i="6" s="1"/>
  <c r="AJ10" i="2"/>
  <c r="AT10" i="2" s="1"/>
  <c r="BB37" i="1"/>
  <c r="AP37" i="14"/>
  <c r="AZ37" i="14" s="1"/>
  <c r="AP37" i="13"/>
  <c r="AZ37" i="13" s="1"/>
  <c r="AP37" i="12"/>
  <c r="AZ37" i="12" s="1"/>
  <c r="AP37" i="11"/>
  <c r="AZ37" i="11" s="1"/>
  <c r="AP37" i="9"/>
  <c r="AZ37" i="9" s="1"/>
  <c r="AP37" i="10"/>
  <c r="AZ37" i="10" s="1"/>
  <c r="AP37" i="8"/>
  <c r="AZ37" i="8" s="1"/>
  <c r="AP37" i="6"/>
  <c r="AZ37" i="6" s="1"/>
  <c r="AP37" i="5"/>
  <c r="AZ37" i="5" s="1"/>
  <c r="AP37" i="7"/>
  <c r="AZ37" i="7" s="1"/>
  <c r="AP37" i="2"/>
  <c r="AZ37" i="2" s="1"/>
  <c r="AZ36" i="1"/>
  <c r="AN36" i="14"/>
  <c r="AX36" i="14" s="1"/>
  <c r="AN36" i="13"/>
  <c r="AX36" i="13" s="1"/>
  <c r="AN36" i="12"/>
  <c r="AX36" i="12" s="1"/>
  <c r="AN36" i="11"/>
  <c r="AX36" i="11" s="1"/>
  <c r="AN36" i="10"/>
  <c r="AX36" i="10" s="1"/>
  <c r="AN36" i="8"/>
  <c r="AX36" i="8" s="1"/>
  <c r="AN36" i="9"/>
  <c r="AX36" i="9" s="1"/>
  <c r="AN36" i="7"/>
  <c r="AX36" i="7" s="1"/>
  <c r="AN36" i="6"/>
  <c r="AX36" i="6" s="1"/>
  <c r="AN36" i="5"/>
  <c r="AX36" i="5" s="1"/>
  <c r="AN36" i="2"/>
  <c r="AX36" i="2" s="1"/>
  <c r="AX35" i="1"/>
  <c r="AL35" i="14"/>
  <c r="AV35" i="14" s="1"/>
  <c r="AL35" i="12"/>
  <c r="AV35" i="12" s="1"/>
  <c r="AL35" i="13"/>
  <c r="AV35" i="13" s="1"/>
  <c r="AL35" i="11"/>
  <c r="AV35" i="11" s="1"/>
  <c r="AL35" i="10"/>
  <c r="AV35" i="10" s="1"/>
  <c r="AL35" i="9"/>
  <c r="AV35" i="9" s="1"/>
  <c r="AL35" i="8"/>
  <c r="AV35" i="8" s="1"/>
  <c r="AL35" i="7"/>
  <c r="AV35" i="7" s="1"/>
  <c r="AL35" i="6"/>
  <c r="AV35" i="6" s="1"/>
  <c r="AL35" i="5"/>
  <c r="AV35" i="5" s="1"/>
  <c r="AL35" i="2"/>
  <c r="AV35" i="2" s="1"/>
  <c r="AY13" i="1"/>
  <c r="AM13" i="14"/>
  <c r="AW13" i="14" s="1"/>
  <c r="AM13" i="13"/>
  <c r="AW13" i="13" s="1"/>
  <c r="AM13" i="11"/>
  <c r="AW13" i="11" s="1"/>
  <c r="AM13" i="12"/>
  <c r="AW13" i="12" s="1"/>
  <c r="AM13" i="10"/>
  <c r="AW13" i="10" s="1"/>
  <c r="AM13" i="9"/>
  <c r="AW13" i="9" s="1"/>
  <c r="AM13" i="5"/>
  <c r="AW13" i="5" s="1"/>
  <c r="AM13" i="2"/>
  <c r="AW13" i="2" s="1"/>
  <c r="AM13" i="7"/>
  <c r="AW13" i="7" s="1"/>
  <c r="AM13" i="6"/>
  <c r="AW13" i="6" s="1"/>
  <c r="AM13" i="8"/>
  <c r="AW13" i="8" s="1"/>
  <c r="AW12" i="1"/>
  <c r="AK12" i="14"/>
  <c r="AU12" i="14" s="1"/>
  <c r="AK12" i="13"/>
  <c r="AU12" i="13" s="1"/>
  <c r="AK12" i="11"/>
  <c r="AU12" i="11" s="1"/>
  <c r="AK12" i="12"/>
  <c r="AU12" i="12" s="1"/>
  <c r="AK12" i="9"/>
  <c r="AU12" i="9" s="1"/>
  <c r="AK12" i="10"/>
  <c r="AU12" i="10" s="1"/>
  <c r="AK12" i="8"/>
  <c r="AU12" i="8" s="1"/>
  <c r="AK12" i="7"/>
  <c r="AU12" i="7" s="1"/>
  <c r="AK12" i="6"/>
  <c r="AU12" i="6" s="1"/>
  <c r="AK12" i="2"/>
  <c r="AU12" i="2" s="1"/>
  <c r="AK12" i="5"/>
  <c r="AU12" i="5" s="1"/>
  <c r="AU11" i="1"/>
  <c r="AI11" i="14"/>
  <c r="AS11" i="14" s="1"/>
  <c r="AI11" i="13"/>
  <c r="AS11" i="13" s="1"/>
  <c r="AI11" i="12"/>
  <c r="AS11" i="12" s="1"/>
  <c r="AI11" i="10"/>
  <c r="AS11" i="10" s="1"/>
  <c r="AI11" i="11"/>
  <c r="AS11" i="11" s="1"/>
  <c r="AI11" i="9"/>
  <c r="AS11" i="9" s="1"/>
  <c r="AI11" i="8"/>
  <c r="AS11" i="8" s="1"/>
  <c r="AI11" i="2"/>
  <c r="AS11" i="2" s="1"/>
  <c r="AI11" i="7"/>
  <c r="AS11" i="7" s="1"/>
  <c r="AS11" i="6"/>
  <c r="AI11" i="5"/>
  <c r="AS11" i="5" s="1"/>
  <c r="BC39" i="1"/>
  <c r="AQ39" i="14"/>
  <c r="BA39" i="14" s="1"/>
  <c r="AQ39" i="13"/>
  <c r="BA39" i="13" s="1"/>
  <c r="AQ39" i="12"/>
  <c r="BA39" i="12" s="1"/>
  <c r="AQ39" i="11"/>
  <c r="BA39" i="11" s="1"/>
  <c r="AQ39" i="9"/>
  <c r="BA39" i="9" s="1"/>
  <c r="AQ39" i="10"/>
  <c r="BA39" i="10" s="1"/>
  <c r="AQ39" i="8"/>
  <c r="BA39" i="8" s="1"/>
  <c r="AQ39" i="7"/>
  <c r="BA39" i="7" s="1"/>
  <c r="AQ39" i="2"/>
  <c r="BA39" i="2" s="1"/>
  <c r="AQ39" i="6"/>
  <c r="BA39" i="6" s="1"/>
  <c r="AQ39" i="5"/>
  <c r="BA39" i="5" s="1"/>
  <c r="BA38" i="1"/>
  <c r="AO38" i="14"/>
  <c r="AY38" i="14" s="1"/>
  <c r="AO38" i="12"/>
  <c r="AY38" i="12" s="1"/>
  <c r="AO38" i="13"/>
  <c r="AY38" i="13" s="1"/>
  <c r="AO38" i="10"/>
  <c r="AY38" i="10" s="1"/>
  <c r="AO38" i="11"/>
  <c r="AY38" i="11" s="1"/>
  <c r="AO38" i="8"/>
  <c r="AY38" i="8" s="1"/>
  <c r="AO38" i="9"/>
  <c r="AY38" i="9" s="1"/>
  <c r="AO38" i="5"/>
  <c r="AY38" i="5" s="1"/>
  <c r="AO38" i="2"/>
  <c r="AY38" i="2" s="1"/>
  <c r="AO38" i="6"/>
  <c r="AY38" i="6" s="1"/>
  <c r="AO38" i="7"/>
  <c r="AY38" i="7" s="1"/>
  <c r="AY37" i="1"/>
  <c r="AM37" i="14"/>
  <c r="AW37" i="14" s="1"/>
  <c r="AM37" i="13"/>
  <c r="AW37" i="13" s="1"/>
  <c r="AM37" i="11"/>
  <c r="AW37" i="11" s="1"/>
  <c r="AM37" i="12"/>
  <c r="AW37" i="12" s="1"/>
  <c r="AM37" i="9"/>
  <c r="AW37" i="9" s="1"/>
  <c r="AM37" i="10"/>
  <c r="AW37" i="10" s="1"/>
  <c r="AM37" i="8"/>
  <c r="AW37" i="8" s="1"/>
  <c r="AM37" i="2"/>
  <c r="AW37" i="2" s="1"/>
  <c r="AM37" i="6"/>
  <c r="AW37" i="6" s="1"/>
  <c r="AM37" i="5"/>
  <c r="AW37" i="5" s="1"/>
  <c r="AM37" i="7"/>
  <c r="AW37" i="7" s="1"/>
  <c r="AW36" i="1"/>
  <c r="AK36" i="14"/>
  <c r="AU36" i="14" s="1"/>
  <c r="AK36" i="13"/>
  <c r="AU36" i="13" s="1"/>
  <c r="AK36" i="12"/>
  <c r="AU36" i="12" s="1"/>
  <c r="AK36" i="11"/>
  <c r="AU36" i="11" s="1"/>
  <c r="AK36" i="10"/>
  <c r="AU36" i="10" s="1"/>
  <c r="AK36" i="9"/>
  <c r="AU36" i="9" s="1"/>
  <c r="AK36" i="2"/>
  <c r="AU36" i="2" s="1"/>
  <c r="AK36" i="7"/>
  <c r="AU36" i="7" s="1"/>
  <c r="AK36" i="6"/>
  <c r="AU36" i="6" s="1"/>
  <c r="AK36" i="8"/>
  <c r="AU36" i="8" s="1"/>
  <c r="AK36" i="5"/>
  <c r="AU36" i="5" s="1"/>
  <c r="AU35" i="1"/>
  <c r="AI35" i="14"/>
  <c r="AS35" i="14" s="1"/>
  <c r="AI35" i="13"/>
  <c r="AS35" i="13" s="1"/>
  <c r="AI35" i="12"/>
  <c r="AS35" i="12" s="1"/>
  <c r="AI35" i="11"/>
  <c r="AS35" i="11" s="1"/>
  <c r="AI35" i="9"/>
  <c r="AS35" i="9" s="1"/>
  <c r="AI35" i="8"/>
  <c r="AS35" i="8" s="1"/>
  <c r="AI35" i="10"/>
  <c r="AS35" i="10" s="1"/>
  <c r="AI35" i="7"/>
  <c r="AS35" i="7" s="1"/>
  <c r="AS35" i="6"/>
  <c r="AI35" i="5"/>
  <c r="AS35" i="5" s="1"/>
  <c r="AI35" i="2"/>
  <c r="AS35" i="2" s="1"/>
  <c r="AW34" i="1"/>
  <c r="AK34" i="14"/>
  <c r="AU34" i="14" s="1"/>
  <c r="AK34" i="13"/>
  <c r="AU34" i="13" s="1"/>
  <c r="AK34" i="12"/>
  <c r="AU34" i="12" s="1"/>
  <c r="AK34" i="10"/>
  <c r="AU34" i="10" s="1"/>
  <c r="AK34" i="11"/>
  <c r="AU34" i="11" s="1"/>
  <c r="AK34" i="9"/>
  <c r="AU34" i="9" s="1"/>
  <c r="AK34" i="8"/>
  <c r="AU34" i="8" s="1"/>
  <c r="AK34" i="6"/>
  <c r="AU34" i="6" s="1"/>
  <c r="AK34" i="5"/>
  <c r="AU34" i="5" s="1"/>
  <c r="AK34" i="2"/>
  <c r="AU34" i="2" s="1"/>
  <c r="AK34" i="7"/>
  <c r="AU34" i="7" s="1"/>
  <c r="AT13" i="1"/>
  <c r="AH13" i="14"/>
  <c r="AR13" i="14" s="1"/>
  <c r="AH13" i="13"/>
  <c r="AR13" i="13" s="1"/>
  <c r="AH13" i="11"/>
  <c r="AR13" i="11" s="1"/>
  <c r="AH13" i="10"/>
  <c r="AR13" i="10" s="1"/>
  <c r="AH13" i="12"/>
  <c r="AR13" i="12" s="1"/>
  <c r="AH13" i="9"/>
  <c r="AR13" i="9" s="1"/>
  <c r="AH13" i="8"/>
  <c r="AR13" i="8" s="1"/>
  <c r="AH13" i="5"/>
  <c r="AR13" i="5" s="1"/>
  <c r="AH13" i="7"/>
  <c r="AR13" i="7" s="1"/>
  <c r="AR13" i="6"/>
  <c r="AH13" i="2"/>
  <c r="AR13" i="2" s="1"/>
  <c r="BB11" i="1"/>
  <c r="AP11" i="14"/>
  <c r="AZ11" i="14" s="1"/>
  <c r="AP11" i="13"/>
  <c r="AZ11" i="13" s="1"/>
  <c r="AP11" i="12"/>
  <c r="AZ11" i="12" s="1"/>
  <c r="AP11" i="11"/>
  <c r="AZ11" i="11" s="1"/>
  <c r="AP11" i="10"/>
  <c r="AZ11" i="10" s="1"/>
  <c r="AP11" i="9"/>
  <c r="AZ11" i="9" s="1"/>
  <c r="AP11" i="8"/>
  <c r="AZ11" i="8" s="1"/>
  <c r="AP11" i="2"/>
  <c r="AZ11" i="2" s="1"/>
  <c r="AP11" i="7"/>
  <c r="AZ11" i="7" s="1"/>
  <c r="AP11" i="6"/>
  <c r="AZ11" i="6" s="1"/>
  <c r="AP11" i="5"/>
  <c r="AZ11" i="5" s="1"/>
  <c r="AZ10" i="1"/>
  <c r="AN10" i="14"/>
  <c r="AX10" i="14" s="1"/>
  <c r="AN10" i="11"/>
  <c r="AX10" i="11" s="1"/>
  <c r="AN10" i="13"/>
  <c r="AX10" i="13" s="1"/>
  <c r="AN10" i="12"/>
  <c r="AX10" i="12" s="1"/>
  <c r="AN10" i="9"/>
  <c r="AX10" i="9" s="1"/>
  <c r="AN10" i="10"/>
  <c r="AX10" i="10" s="1"/>
  <c r="AN10" i="8"/>
  <c r="AX10" i="8" s="1"/>
  <c r="AN10" i="5"/>
  <c r="AX10" i="5" s="1"/>
  <c r="AN10" i="7"/>
  <c r="AX10" i="7" s="1"/>
  <c r="AN10" i="6"/>
  <c r="AX10" i="6" s="1"/>
  <c r="AN10" i="2"/>
  <c r="AX10" i="2" s="1"/>
  <c r="AX39" i="1"/>
  <c r="AL39" i="14"/>
  <c r="AV39" i="14" s="1"/>
  <c r="AL39" i="13"/>
  <c r="AV39" i="13" s="1"/>
  <c r="AL39" i="12"/>
  <c r="AV39" i="12" s="1"/>
  <c r="AL39" i="11"/>
  <c r="AV39" i="11" s="1"/>
  <c r="AL39" i="10"/>
  <c r="AV39" i="10" s="1"/>
  <c r="AL39" i="9"/>
  <c r="AV39" i="9" s="1"/>
  <c r="AL39" i="8"/>
  <c r="AV39" i="8" s="1"/>
  <c r="AL39" i="6"/>
  <c r="AV39" i="6" s="1"/>
  <c r="AL39" i="5"/>
  <c r="AV39" i="5" s="1"/>
  <c r="AL39" i="7"/>
  <c r="AV39" i="7" s="1"/>
  <c r="AL39" i="2"/>
  <c r="AV39" i="2" s="1"/>
  <c r="AZ38" i="1"/>
  <c r="AN38" i="13"/>
  <c r="AX38" i="13" s="1"/>
  <c r="AN38" i="14"/>
  <c r="AX38" i="14" s="1"/>
  <c r="AN38" i="12"/>
  <c r="AX38" i="12" s="1"/>
  <c r="AN38" i="11"/>
  <c r="AX38" i="11" s="1"/>
  <c r="AN38" i="10"/>
  <c r="AX38" i="10" s="1"/>
  <c r="AN38" i="8"/>
  <c r="AX38" i="8" s="1"/>
  <c r="AN38" i="7"/>
  <c r="AX38" i="7" s="1"/>
  <c r="AN38" i="6"/>
  <c r="AX38" i="6" s="1"/>
  <c r="AN38" i="9"/>
  <c r="AX38" i="9" s="1"/>
  <c r="AN38" i="5"/>
  <c r="AX38" i="5" s="1"/>
  <c r="AN38" i="2"/>
  <c r="AX38" i="2" s="1"/>
  <c r="AX37" i="1"/>
  <c r="AL37" i="14"/>
  <c r="AV37" i="14" s="1"/>
  <c r="AL37" i="13"/>
  <c r="AV37" i="13" s="1"/>
  <c r="AL37" i="12"/>
  <c r="AV37" i="12" s="1"/>
  <c r="AL37" i="11"/>
  <c r="AV37" i="11" s="1"/>
  <c r="AL37" i="9"/>
  <c r="AV37" i="9" s="1"/>
  <c r="AL37" i="10"/>
  <c r="AV37" i="10" s="1"/>
  <c r="AL37" i="6"/>
  <c r="AV37" i="6" s="1"/>
  <c r="AL37" i="8"/>
  <c r="AV37" i="8" s="1"/>
  <c r="AL37" i="2"/>
  <c r="AV37" i="2" s="1"/>
  <c r="AL37" i="7"/>
  <c r="AV37" i="7" s="1"/>
  <c r="AL37" i="5"/>
  <c r="AV37" i="5" s="1"/>
  <c r="AV36" i="1"/>
  <c r="AJ36" i="14"/>
  <c r="AT36" i="14" s="1"/>
  <c r="AJ36" i="13"/>
  <c r="AT36" i="13" s="1"/>
  <c r="AJ36" i="12"/>
  <c r="AT36" i="12" s="1"/>
  <c r="AJ36" i="11"/>
  <c r="AT36" i="11" s="1"/>
  <c r="AJ36" i="8"/>
  <c r="AT36" i="8" s="1"/>
  <c r="AJ36" i="10"/>
  <c r="AT36" i="10" s="1"/>
  <c r="AJ36" i="9"/>
  <c r="AT36" i="9" s="1"/>
  <c r="AJ36" i="7"/>
  <c r="AT36" i="7" s="1"/>
  <c r="AJ36" i="6"/>
  <c r="AT36" i="6" s="1"/>
  <c r="AJ36" i="5"/>
  <c r="AT36" i="5" s="1"/>
  <c r="AJ36" i="2"/>
  <c r="AT36" i="2" s="1"/>
  <c r="AV34" i="1"/>
  <c r="AJ34" i="14"/>
  <c r="AT34" i="14" s="1"/>
  <c r="AJ34" i="12"/>
  <c r="AT34" i="12" s="1"/>
  <c r="AJ34" i="13"/>
  <c r="AT34" i="13" s="1"/>
  <c r="AJ34" i="10"/>
  <c r="AT34" i="10" s="1"/>
  <c r="AJ34" i="11"/>
  <c r="AT34" i="11" s="1"/>
  <c r="AJ34" i="9"/>
  <c r="AT34" i="9" s="1"/>
  <c r="AJ34" i="8"/>
  <c r="AT34" i="8" s="1"/>
  <c r="AJ34" i="7"/>
  <c r="AT34" i="7" s="1"/>
  <c r="AJ34" i="6"/>
  <c r="AT34" i="6" s="1"/>
  <c r="AJ34" i="5"/>
  <c r="AT34" i="5" s="1"/>
  <c r="AJ34" i="2"/>
  <c r="AT34" i="2" s="1"/>
  <c r="AW13" i="1"/>
  <c r="AK13" i="14"/>
  <c r="AU13" i="14" s="1"/>
  <c r="AK13" i="13"/>
  <c r="AU13" i="13" s="1"/>
  <c r="AK13" i="12"/>
  <c r="AU13" i="12" s="1"/>
  <c r="AK13" i="11"/>
  <c r="AU13" i="11" s="1"/>
  <c r="AK13" i="8"/>
  <c r="AU13" i="8" s="1"/>
  <c r="AK13" i="10"/>
  <c r="AU13" i="10" s="1"/>
  <c r="AK13" i="9"/>
  <c r="AU13" i="9" s="1"/>
  <c r="AK13" i="7"/>
  <c r="AU13" i="7" s="1"/>
  <c r="AK13" i="6"/>
  <c r="AU13" i="6" s="1"/>
  <c r="AK13" i="2"/>
  <c r="AU13" i="2" s="1"/>
  <c r="AK13" i="5"/>
  <c r="AU13" i="5" s="1"/>
  <c r="AY12" i="1"/>
  <c r="AM12" i="14"/>
  <c r="AW12" i="14" s="1"/>
  <c r="AM12" i="13"/>
  <c r="AW12" i="13" s="1"/>
  <c r="AM12" i="12"/>
  <c r="AW12" i="12" s="1"/>
  <c r="AM12" i="10"/>
  <c r="AW12" i="10" s="1"/>
  <c r="AM12" i="11"/>
  <c r="AW12" i="11" s="1"/>
  <c r="AM12" i="8"/>
  <c r="AW12" i="8" s="1"/>
  <c r="AM12" i="9"/>
  <c r="AW12" i="9" s="1"/>
  <c r="AM12" i="7"/>
  <c r="AW12" i="7" s="1"/>
  <c r="AM12" i="6"/>
  <c r="AW12" i="6" s="1"/>
  <c r="AM12" i="2"/>
  <c r="AW12" i="2" s="1"/>
  <c r="AM12" i="5"/>
  <c r="AW12" i="5" s="1"/>
  <c r="BA11" i="1"/>
  <c r="AO11" i="14"/>
  <c r="AY11" i="14" s="1"/>
  <c r="AO11" i="13"/>
  <c r="AY11" i="13" s="1"/>
  <c r="AO11" i="12"/>
  <c r="AY11" i="12" s="1"/>
  <c r="AO11" i="11"/>
  <c r="AY11" i="11" s="1"/>
  <c r="AO11" i="10"/>
  <c r="AY11" i="10" s="1"/>
  <c r="AO11" i="9"/>
  <c r="AY11" i="9" s="1"/>
  <c r="AO11" i="7"/>
  <c r="AY11" i="7" s="1"/>
  <c r="AO11" i="6"/>
  <c r="AY11" i="6" s="1"/>
  <c r="AO11" i="5"/>
  <c r="AY11" i="5" s="1"/>
  <c r="AO11" i="8"/>
  <c r="AY11" i="8" s="1"/>
  <c r="AO11" i="2"/>
  <c r="AY11" i="2" s="1"/>
  <c r="BC10" i="1"/>
  <c r="AQ10" i="13"/>
  <c r="BA10" i="13" s="1"/>
  <c r="AQ10" i="12"/>
  <c r="BA10" i="12" s="1"/>
  <c r="AQ10" i="11"/>
  <c r="BA10" i="11" s="1"/>
  <c r="AQ10" i="14"/>
  <c r="BA10" i="14" s="1"/>
  <c r="AQ10" i="10"/>
  <c r="BA10" i="10" s="1"/>
  <c r="AQ10" i="9"/>
  <c r="BA10" i="9" s="1"/>
  <c r="AQ10" i="8"/>
  <c r="BA10" i="8" s="1"/>
  <c r="AQ10" i="5"/>
  <c r="BA10" i="5" s="1"/>
  <c r="AQ10" i="7"/>
  <c r="BA10" i="7" s="1"/>
  <c r="AQ10" i="6"/>
  <c r="BA10" i="6" s="1"/>
  <c r="AQ10" i="2"/>
  <c r="BA10" i="2" s="1"/>
  <c r="AU10" i="1"/>
  <c r="AI10" i="14"/>
  <c r="AS10" i="14" s="1"/>
  <c r="AI10" i="13"/>
  <c r="AS10" i="13" s="1"/>
  <c r="AI10" i="12"/>
  <c r="AS10" i="12" s="1"/>
  <c r="AI10" i="11"/>
  <c r="AS10" i="11" s="1"/>
  <c r="AI10" i="10"/>
  <c r="AS10" i="10" s="1"/>
  <c r="AI10" i="9"/>
  <c r="AS10" i="9" s="1"/>
  <c r="AI10" i="8"/>
  <c r="AS10" i="8" s="1"/>
  <c r="AI10" i="5"/>
  <c r="AS10" i="5" s="1"/>
  <c r="AI10" i="7"/>
  <c r="AS10" i="7" s="1"/>
  <c r="AS10" i="6"/>
  <c r="AI10" i="2"/>
  <c r="AS10" i="2" s="1"/>
  <c r="AW39" i="1"/>
  <c r="AK39" i="14"/>
  <c r="AU39" i="14" s="1"/>
  <c r="AK39" i="13"/>
  <c r="AU39" i="13" s="1"/>
  <c r="AK39" i="11"/>
  <c r="AU39" i="11" s="1"/>
  <c r="AK39" i="10"/>
  <c r="AU39" i="10" s="1"/>
  <c r="AK39" i="12"/>
  <c r="AU39" i="12" s="1"/>
  <c r="AK39" i="9"/>
  <c r="AU39" i="9" s="1"/>
  <c r="AK39" i="8"/>
  <c r="AU39" i="8" s="1"/>
  <c r="AK39" i="6"/>
  <c r="AU39" i="6" s="1"/>
  <c r="AK39" i="5"/>
  <c r="AU39" i="5" s="1"/>
  <c r="AK39" i="7"/>
  <c r="AU39" i="7" s="1"/>
  <c r="AK39" i="2"/>
  <c r="AU39" i="2" s="1"/>
  <c r="AY38" i="1"/>
  <c r="AM38" i="14"/>
  <c r="AW38" i="14" s="1"/>
  <c r="AM38" i="13"/>
  <c r="AW38" i="13" s="1"/>
  <c r="AM38" i="11"/>
  <c r="AW38" i="11" s="1"/>
  <c r="AM38" i="12"/>
  <c r="AW38" i="12" s="1"/>
  <c r="AM38" i="9"/>
  <c r="AW38" i="9" s="1"/>
  <c r="AM38" i="10"/>
  <c r="AW38" i="10" s="1"/>
  <c r="AM38" i="7"/>
  <c r="AW38" i="7" s="1"/>
  <c r="AM38" i="6"/>
  <c r="AW38" i="6" s="1"/>
  <c r="AM38" i="2"/>
  <c r="AW38" i="2" s="1"/>
  <c r="AM38" i="8"/>
  <c r="AW38" i="8" s="1"/>
  <c r="AM38" i="5"/>
  <c r="AW38" i="5" s="1"/>
  <c r="BA37" i="1"/>
  <c r="AO37" i="14"/>
  <c r="AY37" i="14" s="1"/>
  <c r="AO37" i="13"/>
  <c r="AY37" i="13" s="1"/>
  <c r="AO37" i="12"/>
  <c r="AY37" i="12" s="1"/>
  <c r="AO37" i="10"/>
  <c r="AY37" i="10" s="1"/>
  <c r="AO37" i="8"/>
  <c r="AY37" i="8" s="1"/>
  <c r="AO37" i="11"/>
  <c r="AY37" i="11" s="1"/>
  <c r="AO37" i="9"/>
  <c r="AY37" i="9" s="1"/>
  <c r="AO37" i="7"/>
  <c r="AY37" i="7" s="1"/>
  <c r="AO37" i="2"/>
  <c r="AY37" i="2" s="1"/>
  <c r="AO37" i="6"/>
  <c r="AY37" i="6" s="1"/>
  <c r="AO37" i="5"/>
  <c r="AY37" i="5" s="1"/>
  <c r="BC36" i="1"/>
  <c r="AQ36" i="13"/>
  <c r="BA36" i="13" s="1"/>
  <c r="AQ36" i="14"/>
  <c r="BA36" i="14" s="1"/>
  <c r="AQ36" i="12"/>
  <c r="BA36" i="12" s="1"/>
  <c r="AQ36" i="11"/>
  <c r="BA36" i="11" s="1"/>
  <c r="AQ36" i="10"/>
  <c r="BA36" i="10" s="1"/>
  <c r="AQ36" i="9"/>
  <c r="BA36" i="9" s="1"/>
  <c r="AQ36" i="8"/>
  <c r="BA36" i="8" s="1"/>
  <c r="AQ36" i="5"/>
  <c r="BA36" i="5" s="1"/>
  <c r="AQ36" i="7"/>
  <c r="BA36" i="7" s="1"/>
  <c r="AQ36" i="2"/>
  <c r="BA36" i="2" s="1"/>
  <c r="AQ36" i="6"/>
  <c r="BA36" i="6" s="1"/>
  <c r="AU36" i="1"/>
  <c r="AI36" i="14"/>
  <c r="AS36" i="14" s="1"/>
  <c r="AI36" i="13"/>
  <c r="AS36" i="13" s="1"/>
  <c r="AI36" i="12"/>
  <c r="AS36" i="12" s="1"/>
  <c r="AI36" i="11"/>
  <c r="AS36" i="11" s="1"/>
  <c r="AI36" i="10"/>
  <c r="AS36" i="10" s="1"/>
  <c r="AI36" i="9"/>
  <c r="AS36" i="9" s="1"/>
  <c r="AI36" i="8"/>
  <c r="AS36" i="8" s="1"/>
  <c r="AI36" i="5"/>
  <c r="AS36" i="5" s="1"/>
  <c r="AS36" i="6"/>
  <c r="AI36" i="2"/>
  <c r="AS36" i="2" s="1"/>
  <c r="AI36" i="7"/>
  <c r="AS36" i="7" s="1"/>
  <c r="BA35" i="1"/>
  <c r="AO35" i="14"/>
  <c r="AY35" i="14" s="1"/>
  <c r="AO35" i="13"/>
  <c r="AY35" i="13" s="1"/>
  <c r="AO35" i="12"/>
  <c r="AY35" i="12" s="1"/>
  <c r="AO35" i="10"/>
  <c r="AY35" i="10" s="1"/>
  <c r="AO35" i="11"/>
  <c r="AY35" i="11" s="1"/>
  <c r="AO35" i="9"/>
  <c r="AY35" i="9" s="1"/>
  <c r="AO35" i="8"/>
  <c r="AY35" i="8" s="1"/>
  <c r="AO35" i="7"/>
  <c r="AY35" i="7" s="1"/>
  <c r="AO35" i="6"/>
  <c r="AY35" i="6" s="1"/>
  <c r="AO35" i="2"/>
  <c r="AY35" i="2" s="1"/>
  <c r="AO35" i="5"/>
  <c r="AY35" i="5" s="1"/>
  <c r="BC34" i="1"/>
  <c r="AQ34" i="13"/>
  <c r="BA34" i="13" s="1"/>
  <c r="AQ34" i="14"/>
  <c r="BA34" i="14" s="1"/>
  <c r="AQ34" i="12"/>
  <c r="BA34" i="12" s="1"/>
  <c r="AQ34" i="11"/>
  <c r="BA34" i="11" s="1"/>
  <c r="AQ34" i="9"/>
  <c r="BA34" i="9" s="1"/>
  <c r="AQ34" i="10"/>
  <c r="BA34" i="10" s="1"/>
  <c r="AQ34" i="8"/>
  <c r="BA34" i="8" s="1"/>
  <c r="AQ34" i="7"/>
  <c r="BA34" i="7" s="1"/>
  <c r="AQ34" i="6"/>
  <c r="BA34" i="6" s="1"/>
  <c r="AQ34" i="5"/>
  <c r="BA34" i="5" s="1"/>
  <c r="AQ34" i="2"/>
  <c r="BA34" i="2" s="1"/>
  <c r="AU34" i="1"/>
  <c r="AI34" i="13"/>
  <c r="AS34" i="13" s="1"/>
  <c r="AI34" i="14"/>
  <c r="AS34" i="14" s="1"/>
  <c r="AI34" i="12"/>
  <c r="AS34" i="12" s="1"/>
  <c r="AI34" i="11"/>
  <c r="AS34" i="11" s="1"/>
  <c r="AI34" i="9"/>
  <c r="AS34" i="9" s="1"/>
  <c r="AI34" i="10"/>
  <c r="AS34" i="10" s="1"/>
  <c r="AI34" i="7"/>
  <c r="AS34" i="7" s="1"/>
  <c r="AS34" i="6"/>
  <c r="AI34" i="5"/>
  <c r="AS34" i="5" s="1"/>
  <c r="AI34" i="2"/>
  <c r="AS34" i="2" s="1"/>
  <c r="AI34" i="8"/>
  <c r="AS34" i="8" s="1"/>
  <c r="AU13" i="1"/>
  <c r="AI13" i="14"/>
  <c r="AS13" i="14" s="1"/>
  <c r="AI13" i="13"/>
  <c r="AS13" i="13" s="1"/>
  <c r="AI13" i="11"/>
  <c r="AS13" i="11" s="1"/>
  <c r="AI13" i="12"/>
  <c r="AS13" i="12" s="1"/>
  <c r="AI13" i="10"/>
  <c r="AS13" i="10" s="1"/>
  <c r="AI13" i="9"/>
  <c r="AS13" i="9" s="1"/>
  <c r="AI13" i="8"/>
  <c r="AS13" i="8" s="1"/>
  <c r="AI13" i="5"/>
  <c r="AS13" i="5" s="1"/>
  <c r="AI13" i="2"/>
  <c r="AS13" i="2" s="1"/>
  <c r="AI13" i="7"/>
  <c r="AS13" i="7" s="1"/>
  <c r="AS13" i="6"/>
  <c r="BC11" i="1"/>
  <c r="AQ11" i="14"/>
  <c r="BA11" i="14" s="1"/>
  <c r="AQ11" i="13"/>
  <c r="BA11" i="13" s="1"/>
  <c r="AQ11" i="12"/>
  <c r="BA11" i="12" s="1"/>
  <c r="AQ11" i="10"/>
  <c r="BA11" i="10" s="1"/>
  <c r="AQ11" i="11"/>
  <c r="BA11" i="11" s="1"/>
  <c r="AQ11" i="8"/>
  <c r="BA11" i="8" s="1"/>
  <c r="AQ11" i="9"/>
  <c r="BA11" i="9" s="1"/>
  <c r="AQ11" i="2"/>
  <c r="BA11" i="2" s="1"/>
  <c r="AQ11" i="7"/>
  <c r="BA11" i="7" s="1"/>
  <c r="AQ11" i="6"/>
  <c r="BA11" i="6" s="1"/>
  <c r="AQ11" i="5"/>
  <c r="BA11" i="5" s="1"/>
  <c r="BA10" i="1"/>
  <c r="AO10" i="14"/>
  <c r="AY10" i="14" s="1"/>
  <c r="AO10" i="13"/>
  <c r="AY10" i="13" s="1"/>
  <c r="AO10" i="12"/>
  <c r="AY10" i="12" s="1"/>
  <c r="AO10" i="11"/>
  <c r="AY10" i="11" s="1"/>
  <c r="AO10" i="10"/>
  <c r="AY10" i="10" s="1"/>
  <c r="AO10" i="8"/>
  <c r="AY10" i="8" s="1"/>
  <c r="AO10" i="7"/>
  <c r="AY10" i="7" s="1"/>
  <c r="AO10" i="6"/>
  <c r="AY10" i="6" s="1"/>
  <c r="AO10" i="2"/>
  <c r="AY10" i="2" s="1"/>
  <c r="AO10" i="5"/>
  <c r="AY10" i="5" s="1"/>
  <c r="AO10" i="9"/>
  <c r="AY10" i="9" s="1"/>
  <c r="AY39" i="1"/>
  <c r="AM39" i="14"/>
  <c r="AW39" i="14" s="1"/>
  <c r="AM39" i="13"/>
  <c r="AW39" i="13" s="1"/>
  <c r="AM39" i="11"/>
  <c r="AW39" i="11" s="1"/>
  <c r="AM39" i="12"/>
  <c r="AW39" i="12" s="1"/>
  <c r="AM39" i="9"/>
  <c r="AW39" i="9" s="1"/>
  <c r="AM39" i="8"/>
  <c r="AW39" i="8" s="1"/>
  <c r="AM39" i="10"/>
  <c r="AW39" i="10" s="1"/>
  <c r="AM39" i="7"/>
  <c r="AW39" i="7" s="1"/>
  <c r="AM39" i="2"/>
  <c r="AW39" i="2" s="1"/>
  <c r="AM39" i="5"/>
  <c r="AW39" i="5" s="1"/>
  <c r="AM39" i="6"/>
  <c r="AW39" i="6" s="1"/>
  <c r="AW38" i="1"/>
  <c r="AK38" i="14"/>
  <c r="AU38" i="14" s="1"/>
  <c r="AK38" i="13"/>
  <c r="AU38" i="13" s="1"/>
  <c r="AK38" i="12"/>
  <c r="AU38" i="12" s="1"/>
  <c r="AK38" i="10"/>
  <c r="AU38" i="10" s="1"/>
  <c r="AK38" i="11"/>
  <c r="AU38" i="11" s="1"/>
  <c r="AK38" i="9"/>
  <c r="AU38" i="9" s="1"/>
  <c r="AK38" i="8"/>
  <c r="AU38" i="8" s="1"/>
  <c r="AK38" i="5"/>
  <c r="AU38" i="5" s="1"/>
  <c r="AK38" i="2"/>
  <c r="AU38" i="2" s="1"/>
  <c r="AK38" i="6"/>
  <c r="AU38" i="6" s="1"/>
  <c r="AK38" i="7"/>
  <c r="AU38" i="7" s="1"/>
  <c r="AU37" i="1"/>
  <c r="AI37" i="14"/>
  <c r="AS37" i="14" s="1"/>
  <c r="AI37" i="13"/>
  <c r="AS37" i="13" s="1"/>
  <c r="AI37" i="12"/>
  <c r="AS37" i="12" s="1"/>
  <c r="AI37" i="11"/>
  <c r="AS37" i="11" s="1"/>
  <c r="AI37" i="9"/>
  <c r="AS37" i="9" s="1"/>
  <c r="AI37" i="10"/>
  <c r="AS37" i="10" s="1"/>
  <c r="AI37" i="8"/>
  <c r="AS37" i="8" s="1"/>
  <c r="AI37" i="2"/>
  <c r="AS37" i="2" s="1"/>
  <c r="AS37" i="6"/>
  <c r="AI37" i="5"/>
  <c r="AS37" i="5" s="1"/>
  <c r="AI37" i="7"/>
  <c r="AS37" i="7" s="1"/>
  <c r="BC35" i="1"/>
  <c r="AQ35" i="14"/>
  <c r="BA35" i="14" s="1"/>
  <c r="AQ35" i="12"/>
  <c r="BA35" i="12" s="1"/>
  <c r="AQ35" i="11"/>
  <c r="BA35" i="11" s="1"/>
  <c r="AQ35" i="13"/>
  <c r="BA35" i="13" s="1"/>
  <c r="AQ35" i="9"/>
  <c r="BA35" i="9" s="1"/>
  <c r="AQ35" i="8"/>
  <c r="BA35" i="8" s="1"/>
  <c r="AQ35" i="7"/>
  <c r="BA35" i="7" s="1"/>
  <c r="AQ35" i="6"/>
  <c r="BA35" i="6" s="1"/>
  <c r="AQ35" i="5"/>
  <c r="BA35" i="5" s="1"/>
  <c r="AQ35" i="2"/>
  <c r="BA35" i="2" s="1"/>
  <c r="AQ35" i="10"/>
  <c r="BA35" i="10" s="1"/>
  <c r="BA34" i="1"/>
  <c r="AO34" i="14"/>
  <c r="AY34" i="14" s="1"/>
  <c r="AO34" i="13"/>
  <c r="AY34" i="13" s="1"/>
  <c r="AO34" i="12"/>
  <c r="AY34" i="12" s="1"/>
  <c r="AO34" i="10"/>
  <c r="AY34" i="10" s="1"/>
  <c r="AO34" i="11"/>
  <c r="AY34" i="11" s="1"/>
  <c r="AO34" i="8"/>
  <c r="AY34" i="8" s="1"/>
  <c r="AO34" i="9"/>
  <c r="AY34" i="9" s="1"/>
  <c r="AO34" i="6"/>
  <c r="AY34" i="6" s="1"/>
  <c r="AO34" i="5"/>
  <c r="AY34" i="5" s="1"/>
  <c r="AO34" i="2"/>
  <c r="AY34" i="2" s="1"/>
  <c r="AO34" i="7"/>
  <c r="AY34" i="7" s="1"/>
  <c r="BB13" i="1"/>
  <c r="AP13" i="14"/>
  <c r="AZ13" i="14" s="1"/>
  <c r="AP13" i="13"/>
  <c r="AZ13" i="13" s="1"/>
  <c r="AP13" i="11"/>
  <c r="AZ13" i="11" s="1"/>
  <c r="AP13" i="12"/>
  <c r="AZ13" i="12" s="1"/>
  <c r="AP13" i="10"/>
  <c r="AZ13" i="10" s="1"/>
  <c r="AP13" i="8"/>
  <c r="AZ13" i="8" s="1"/>
  <c r="AP13" i="9"/>
  <c r="AZ13" i="9" s="1"/>
  <c r="AP13" i="5"/>
  <c r="AZ13" i="5" s="1"/>
  <c r="AP13" i="6"/>
  <c r="AZ13" i="6" s="1"/>
  <c r="AP13" i="7"/>
  <c r="AZ13" i="7" s="1"/>
  <c r="AP13" i="2"/>
  <c r="AZ13" i="2" s="1"/>
  <c r="AZ12" i="1"/>
  <c r="AN12" i="14"/>
  <c r="AX12" i="14" s="1"/>
  <c r="AN12" i="13"/>
  <c r="AX12" i="13" s="1"/>
  <c r="AN12" i="12"/>
  <c r="AX12" i="12" s="1"/>
  <c r="AN12" i="11"/>
  <c r="AX12" i="11" s="1"/>
  <c r="AN12" i="10"/>
  <c r="AX12" i="10" s="1"/>
  <c r="AN12" i="9"/>
  <c r="AX12" i="9" s="1"/>
  <c r="AN12" i="7"/>
  <c r="AX12" i="7" s="1"/>
  <c r="AN12" i="6"/>
  <c r="AX12" i="6" s="1"/>
  <c r="AN12" i="8"/>
  <c r="AX12" i="8" s="1"/>
  <c r="AN12" i="5"/>
  <c r="AX12" i="5" s="1"/>
  <c r="AN12" i="2"/>
  <c r="AX12" i="2" s="1"/>
  <c r="AT11" i="1"/>
  <c r="AH11" i="14"/>
  <c r="AR11" i="14" s="1"/>
  <c r="AH11" i="13"/>
  <c r="AR11" i="13" s="1"/>
  <c r="AH11" i="11"/>
  <c r="AR11" i="11" s="1"/>
  <c r="AH11" i="10"/>
  <c r="AR11" i="10" s="1"/>
  <c r="AH11" i="12"/>
  <c r="AR11" i="12" s="1"/>
  <c r="AH11" i="9"/>
  <c r="AR11" i="9" s="1"/>
  <c r="AH11" i="8"/>
  <c r="AR11" i="8" s="1"/>
  <c r="AH11" i="7"/>
  <c r="AR11" i="7" s="1"/>
  <c r="AR11" i="6"/>
  <c r="AH11" i="2"/>
  <c r="AR11" i="2" s="1"/>
  <c r="AH11" i="5"/>
  <c r="AR11" i="5" s="1"/>
  <c r="BB39" i="1"/>
  <c r="AP39" i="14"/>
  <c r="AZ39" i="14" s="1"/>
  <c r="AP39" i="12"/>
  <c r="AZ39" i="12" s="1"/>
  <c r="AP39" i="13"/>
  <c r="AZ39" i="13" s="1"/>
  <c r="AP39" i="11"/>
  <c r="AZ39" i="11" s="1"/>
  <c r="AP39" i="10"/>
  <c r="AZ39" i="10" s="1"/>
  <c r="AP39" i="9"/>
  <c r="AZ39" i="9" s="1"/>
  <c r="AP39" i="8"/>
  <c r="AZ39" i="8" s="1"/>
  <c r="AP39" i="6"/>
  <c r="AZ39" i="6" s="1"/>
  <c r="AP39" i="5"/>
  <c r="AZ39" i="5" s="1"/>
  <c r="AP39" i="7"/>
  <c r="AZ39" i="7" s="1"/>
  <c r="AP39" i="2"/>
  <c r="AZ39" i="2" s="1"/>
  <c r="AV38" i="1"/>
  <c r="AJ38" i="14"/>
  <c r="AT38" i="14" s="1"/>
  <c r="AJ38" i="13"/>
  <c r="AT38" i="13" s="1"/>
  <c r="AJ38" i="12"/>
  <c r="AT38" i="12" s="1"/>
  <c r="AJ38" i="10"/>
  <c r="AT38" i="10" s="1"/>
  <c r="AJ38" i="11"/>
  <c r="AT38" i="11" s="1"/>
  <c r="AJ38" i="9"/>
  <c r="AT38" i="9" s="1"/>
  <c r="AJ38" i="8"/>
  <c r="AT38" i="8" s="1"/>
  <c r="AJ38" i="7"/>
  <c r="AT38" i="7" s="1"/>
  <c r="AJ38" i="6"/>
  <c r="AT38" i="6" s="1"/>
  <c r="AJ38" i="5"/>
  <c r="AT38" i="5" s="1"/>
  <c r="AJ38" i="2"/>
  <c r="AT38" i="2" s="1"/>
  <c r="BB35" i="1"/>
  <c r="AP35" i="14"/>
  <c r="AZ35" i="14" s="1"/>
  <c r="AP35" i="13"/>
  <c r="AZ35" i="13" s="1"/>
  <c r="AP35" i="12"/>
  <c r="AZ35" i="12" s="1"/>
  <c r="AP35" i="11"/>
  <c r="AZ35" i="11" s="1"/>
  <c r="AP35" i="10"/>
  <c r="AZ35" i="10" s="1"/>
  <c r="AP35" i="9"/>
  <c r="AZ35" i="9" s="1"/>
  <c r="AP35" i="8"/>
  <c r="AZ35" i="8" s="1"/>
  <c r="AP35" i="7"/>
  <c r="AZ35" i="7" s="1"/>
  <c r="AP35" i="6"/>
  <c r="AZ35" i="6" s="1"/>
  <c r="AP35" i="5"/>
  <c r="AZ35" i="5" s="1"/>
  <c r="AP35" i="2"/>
  <c r="AZ35" i="2" s="1"/>
  <c r="AZ34" i="1"/>
  <c r="AN34" i="14"/>
  <c r="AX34" i="14" s="1"/>
  <c r="AN34" i="13"/>
  <c r="AX34" i="13" s="1"/>
  <c r="AN34" i="12"/>
  <c r="AX34" i="12" s="1"/>
  <c r="AN34" i="11"/>
  <c r="AX34" i="11" s="1"/>
  <c r="AN34" i="10"/>
  <c r="AX34" i="10" s="1"/>
  <c r="AN34" i="8"/>
  <c r="AX34" i="8" s="1"/>
  <c r="AN34" i="7"/>
  <c r="AX34" i="7" s="1"/>
  <c r="AN34" i="9"/>
  <c r="AX34" i="9" s="1"/>
  <c r="AN34" i="6"/>
  <c r="AX34" i="6" s="1"/>
  <c r="AN34" i="5"/>
  <c r="AX34" i="5" s="1"/>
  <c r="AN34" i="2"/>
  <c r="AX34" i="2" s="1"/>
  <c r="BA13" i="1"/>
  <c r="AO13" i="14"/>
  <c r="AY13" i="14" s="1"/>
  <c r="AO13" i="13"/>
  <c r="AY13" i="13" s="1"/>
  <c r="AO13" i="12"/>
  <c r="AY13" i="12" s="1"/>
  <c r="AO13" i="11"/>
  <c r="AY13" i="11" s="1"/>
  <c r="AO13" i="10"/>
  <c r="AY13" i="10" s="1"/>
  <c r="AO13" i="8"/>
  <c r="AY13" i="8" s="1"/>
  <c r="AO13" i="7"/>
  <c r="AY13" i="7" s="1"/>
  <c r="AO13" i="6"/>
  <c r="AY13" i="6" s="1"/>
  <c r="AO13" i="5"/>
  <c r="AY13" i="5" s="1"/>
  <c r="AO13" i="2"/>
  <c r="AY13" i="2" s="1"/>
  <c r="AO13" i="9"/>
  <c r="AY13" i="9" s="1"/>
  <c r="BC12" i="1"/>
  <c r="AQ12" i="14"/>
  <c r="BA12" i="14" s="1"/>
  <c r="AQ12" i="13"/>
  <c r="BA12" i="13" s="1"/>
  <c r="AQ12" i="12"/>
  <c r="BA12" i="12" s="1"/>
  <c r="AQ12" i="11"/>
  <c r="BA12" i="11" s="1"/>
  <c r="AQ12" i="10"/>
  <c r="BA12" i="10" s="1"/>
  <c r="AQ12" i="9"/>
  <c r="BA12" i="9" s="1"/>
  <c r="AQ12" i="8"/>
  <c r="BA12" i="8" s="1"/>
  <c r="AQ12" i="7"/>
  <c r="BA12" i="7" s="1"/>
  <c r="AQ12" i="6"/>
  <c r="BA12" i="6" s="1"/>
  <c r="AQ12" i="2"/>
  <c r="BA12" i="2" s="1"/>
  <c r="AQ12" i="5"/>
  <c r="BA12" i="5" s="1"/>
  <c r="AU12" i="1"/>
  <c r="AI12" i="14"/>
  <c r="AS12" i="14" s="1"/>
  <c r="AI12" i="13"/>
  <c r="AS12" i="13" s="1"/>
  <c r="AI12" i="12"/>
  <c r="AS12" i="12" s="1"/>
  <c r="AI12" i="11"/>
  <c r="AS12" i="11" s="1"/>
  <c r="AI12" i="10"/>
  <c r="AS12" i="10" s="1"/>
  <c r="AI12" i="8"/>
  <c r="AS12" i="8" s="1"/>
  <c r="AI12" i="9"/>
  <c r="AS12" i="9" s="1"/>
  <c r="AI12" i="7"/>
  <c r="AS12" i="7" s="1"/>
  <c r="AS12" i="6"/>
  <c r="AI12" i="2"/>
  <c r="AS12" i="2" s="1"/>
  <c r="AI12" i="5"/>
  <c r="AS12" i="5" s="1"/>
  <c r="AW11" i="1"/>
  <c r="AK11" i="14"/>
  <c r="AU11" i="14" s="1"/>
  <c r="AK11" i="13"/>
  <c r="AU11" i="13" s="1"/>
  <c r="AK11" i="12"/>
  <c r="AU11" i="12" s="1"/>
  <c r="AK11" i="11"/>
  <c r="AU11" i="11" s="1"/>
  <c r="AK11" i="9"/>
  <c r="AU11" i="9" s="1"/>
  <c r="AK11" i="10"/>
  <c r="AU11" i="10" s="1"/>
  <c r="AK11" i="7"/>
  <c r="AU11" i="7" s="1"/>
  <c r="AK11" i="6"/>
  <c r="AU11" i="6" s="1"/>
  <c r="AK11" i="5"/>
  <c r="AU11" i="5" s="1"/>
  <c r="AK11" i="8"/>
  <c r="AU11" i="8" s="1"/>
  <c r="AK11" i="2"/>
  <c r="AU11" i="2" s="1"/>
  <c r="AY10" i="1"/>
  <c r="AM10" i="14"/>
  <c r="AW10" i="14" s="1"/>
  <c r="AM10" i="13"/>
  <c r="AW10" i="13" s="1"/>
  <c r="AM10" i="12"/>
  <c r="AW10" i="12" s="1"/>
  <c r="AM10" i="11"/>
  <c r="AW10" i="11" s="1"/>
  <c r="AM10" i="10"/>
  <c r="AW10" i="10" s="1"/>
  <c r="AM10" i="9"/>
  <c r="AW10" i="9" s="1"/>
  <c r="AM10" i="8"/>
  <c r="AW10" i="8" s="1"/>
  <c r="AM10" i="5"/>
  <c r="AW10" i="5" s="1"/>
  <c r="AM10" i="7"/>
  <c r="AW10" i="7" s="1"/>
  <c r="AM10" i="6"/>
  <c r="AW10" i="6" s="1"/>
  <c r="AM10" i="2"/>
  <c r="AW10" i="2" s="1"/>
  <c r="BA39" i="1"/>
  <c r="AO39" i="14"/>
  <c r="AY39" i="14" s="1"/>
  <c r="AO39" i="13"/>
  <c r="AY39" i="13" s="1"/>
  <c r="AO39" i="12"/>
  <c r="AY39" i="12" s="1"/>
  <c r="AO39" i="10"/>
  <c r="AY39" i="10" s="1"/>
  <c r="AO39" i="11"/>
  <c r="AY39" i="11" s="1"/>
  <c r="AO39" i="9"/>
  <c r="AY39" i="9" s="1"/>
  <c r="AO39" i="8"/>
  <c r="AY39" i="8" s="1"/>
  <c r="AO39" i="6"/>
  <c r="AY39" i="6" s="1"/>
  <c r="AO39" i="5"/>
  <c r="AY39" i="5" s="1"/>
  <c r="AO39" i="7"/>
  <c r="AY39" i="7" s="1"/>
  <c r="AO39" i="2"/>
  <c r="AY39" i="2" s="1"/>
  <c r="BC38" i="1"/>
  <c r="AQ38" i="14"/>
  <c r="BA38" i="14" s="1"/>
  <c r="AQ38" i="13"/>
  <c r="BA38" i="13" s="1"/>
  <c r="AQ38" i="12"/>
  <c r="BA38" i="12" s="1"/>
  <c r="AQ38" i="11"/>
  <c r="BA38" i="11" s="1"/>
  <c r="AQ38" i="9"/>
  <c r="BA38" i="9" s="1"/>
  <c r="AQ38" i="10"/>
  <c r="BA38" i="10" s="1"/>
  <c r="AQ38" i="7"/>
  <c r="BA38" i="7" s="1"/>
  <c r="AQ38" i="6"/>
  <c r="BA38" i="6" s="1"/>
  <c r="AQ38" i="8"/>
  <c r="BA38" i="8" s="1"/>
  <c r="AQ38" i="5"/>
  <c r="BA38" i="5" s="1"/>
  <c r="AQ38" i="2"/>
  <c r="BA38" i="2" s="1"/>
  <c r="AU38" i="1"/>
  <c r="AI38" i="14"/>
  <c r="AS38" i="14" s="1"/>
  <c r="AI38" i="13"/>
  <c r="AS38" i="13" s="1"/>
  <c r="AI38" i="12"/>
  <c r="AS38" i="12" s="1"/>
  <c r="AI38" i="11"/>
  <c r="AS38" i="11" s="1"/>
  <c r="AI38" i="9"/>
  <c r="AS38" i="9" s="1"/>
  <c r="AI38" i="10"/>
  <c r="AS38" i="10" s="1"/>
  <c r="AI38" i="8"/>
  <c r="AS38" i="8" s="1"/>
  <c r="AI38" i="7"/>
  <c r="AS38" i="7" s="1"/>
  <c r="AS38" i="6"/>
  <c r="AI38" i="5"/>
  <c r="AS38" i="5" s="1"/>
  <c r="AI38" i="2"/>
  <c r="AS38" i="2" s="1"/>
  <c r="AW37" i="1"/>
  <c r="AK37" i="14"/>
  <c r="AU37" i="14" s="1"/>
  <c r="AK37" i="13"/>
  <c r="AU37" i="13" s="1"/>
  <c r="AK37" i="11"/>
  <c r="AU37" i="11" s="1"/>
  <c r="AK37" i="12"/>
  <c r="AU37" i="12" s="1"/>
  <c r="AK37" i="9"/>
  <c r="AU37" i="9" s="1"/>
  <c r="AK37" i="8"/>
  <c r="AU37" i="8" s="1"/>
  <c r="AK37" i="10"/>
  <c r="AU37" i="10" s="1"/>
  <c r="AK37" i="7"/>
  <c r="AU37" i="7" s="1"/>
  <c r="AK37" i="6"/>
  <c r="AU37" i="6" s="1"/>
  <c r="AK37" i="2"/>
  <c r="AU37" i="2" s="1"/>
  <c r="AK37" i="5"/>
  <c r="AU37" i="5" s="1"/>
  <c r="AY36" i="1"/>
  <c r="AM36" i="14"/>
  <c r="AW36" i="14" s="1"/>
  <c r="AM36" i="11"/>
  <c r="AW36" i="11" s="1"/>
  <c r="AM36" i="13"/>
  <c r="AW36" i="13" s="1"/>
  <c r="AM36" i="12"/>
  <c r="AW36" i="12" s="1"/>
  <c r="AM36" i="10"/>
  <c r="AW36" i="10" s="1"/>
  <c r="AM36" i="9"/>
  <c r="AW36" i="9" s="1"/>
  <c r="AM36" i="8"/>
  <c r="AW36" i="8" s="1"/>
  <c r="AM36" i="5"/>
  <c r="AW36" i="5" s="1"/>
  <c r="AM36" i="2"/>
  <c r="AW36" i="2" s="1"/>
  <c r="AM36" i="7"/>
  <c r="AW36" i="7" s="1"/>
  <c r="AM36" i="6"/>
  <c r="AW36" i="6" s="1"/>
  <c r="AW35" i="1"/>
  <c r="AK35" i="14"/>
  <c r="AU35" i="14" s="1"/>
  <c r="AK35" i="13"/>
  <c r="AU35" i="13" s="1"/>
  <c r="AK35" i="11"/>
  <c r="AU35" i="11" s="1"/>
  <c r="AK35" i="10"/>
  <c r="AU35" i="10" s="1"/>
  <c r="AK35" i="12"/>
  <c r="AU35" i="12" s="1"/>
  <c r="AK35" i="9"/>
  <c r="AU35" i="9" s="1"/>
  <c r="AK35" i="8"/>
  <c r="AU35" i="8" s="1"/>
  <c r="AK35" i="7"/>
  <c r="AU35" i="7" s="1"/>
  <c r="AK35" i="6"/>
  <c r="AU35" i="6" s="1"/>
  <c r="AK35" i="5"/>
  <c r="AU35" i="5" s="1"/>
  <c r="AK35" i="2"/>
  <c r="AU35" i="2" s="1"/>
  <c r="AY34" i="1"/>
  <c r="AM34" i="14"/>
  <c r="AW34" i="14" s="1"/>
  <c r="AM34" i="13"/>
  <c r="AW34" i="13" s="1"/>
  <c r="AM34" i="11"/>
  <c r="AW34" i="11" s="1"/>
  <c r="AM34" i="12"/>
  <c r="AW34" i="12" s="1"/>
  <c r="AM34" i="9"/>
  <c r="AW34" i="9" s="1"/>
  <c r="AM34" i="10"/>
  <c r="AW34" i="10" s="1"/>
  <c r="AM34" i="7"/>
  <c r="AW34" i="7" s="1"/>
  <c r="AM34" i="8"/>
  <c r="AW34" i="8" s="1"/>
  <c r="AM34" i="6"/>
  <c r="AW34" i="6" s="1"/>
  <c r="AM34" i="2"/>
  <c r="AW34" i="2" s="1"/>
  <c r="AM34" i="5"/>
  <c r="AW34" i="5" s="1"/>
  <c r="AZ13" i="1"/>
  <c r="AN13" i="14"/>
  <c r="AX13" i="14" s="1"/>
  <c r="AN13" i="12"/>
  <c r="AX13" i="12" s="1"/>
  <c r="AN13" i="13"/>
  <c r="AX13" i="13" s="1"/>
  <c r="AN13" i="11"/>
  <c r="AX13" i="11" s="1"/>
  <c r="AN13" i="9"/>
  <c r="AX13" i="9" s="1"/>
  <c r="AN13" i="10"/>
  <c r="AX13" i="10" s="1"/>
  <c r="AN13" i="8"/>
  <c r="AX13" i="8" s="1"/>
  <c r="AN13" i="7"/>
  <c r="AX13" i="7" s="1"/>
  <c r="AN13" i="6"/>
  <c r="AX13" i="6" s="1"/>
  <c r="AN13" i="2"/>
  <c r="AX13" i="2" s="1"/>
  <c r="AN13" i="5"/>
  <c r="AX13" i="5" s="1"/>
  <c r="AV13" i="1"/>
  <c r="AJ13" i="14"/>
  <c r="AT13" i="14" s="1"/>
  <c r="AJ13" i="12"/>
  <c r="AT13" i="12" s="1"/>
  <c r="AJ13" i="13"/>
  <c r="AT13" i="13" s="1"/>
  <c r="AJ13" i="11"/>
  <c r="AT13" i="11" s="1"/>
  <c r="AJ13" i="8"/>
  <c r="AT13" i="8" s="1"/>
  <c r="AJ13" i="9"/>
  <c r="AT13" i="9" s="1"/>
  <c r="AJ13" i="7"/>
  <c r="AT13" i="7" s="1"/>
  <c r="AJ13" i="6"/>
  <c r="AT13" i="6" s="1"/>
  <c r="AJ13" i="2"/>
  <c r="AT13" i="2" s="1"/>
  <c r="AJ13" i="5"/>
  <c r="AT13" i="5" s="1"/>
  <c r="AJ13" i="10"/>
  <c r="AT13" i="10" s="1"/>
  <c r="BB12" i="1"/>
  <c r="AP12" i="14"/>
  <c r="AZ12" i="14" s="1"/>
  <c r="AP12" i="13"/>
  <c r="AZ12" i="13" s="1"/>
  <c r="AP12" i="11"/>
  <c r="AZ12" i="11" s="1"/>
  <c r="AP12" i="12"/>
  <c r="AZ12" i="12" s="1"/>
  <c r="AP12" i="10"/>
  <c r="AZ12" i="10" s="1"/>
  <c r="AP12" i="9"/>
  <c r="AZ12" i="9" s="1"/>
  <c r="AP12" i="8"/>
  <c r="AZ12" i="8" s="1"/>
  <c r="AP12" i="5"/>
  <c r="AZ12" i="5" s="1"/>
  <c r="AP12" i="2"/>
  <c r="AZ12" i="2" s="1"/>
  <c r="AP12" i="7"/>
  <c r="AZ12" i="7" s="1"/>
  <c r="AP12" i="6"/>
  <c r="AZ12" i="6" s="1"/>
  <c r="AX12" i="1"/>
  <c r="AL12" i="14"/>
  <c r="AV12" i="14" s="1"/>
  <c r="AL12" i="13"/>
  <c r="AV12" i="13" s="1"/>
  <c r="AL12" i="11"/>
  <c r="AV12" i="11" s="1"/>
  <c r="AL12" i="12"/>
  <c r="AV12" i="12" s="1"/>
  <c r="AL12" i="10"/>
  <c r="AV12" i="10" s="1"/>
  <c r="AL12" i="9"/>
  <c r="AV12" i="9" s="1"/>
  <c r="AL12" i="8"/>
  <c r="AV12" i="8" s="1"/>
  <c r="AL12" i="5"/>
  <c r="AV12" i="5" s="1"/>
  <c r="AL12" i="2"/>
  <c r="AV12" i="2" s="1"/>
  <c r="AL12" i="7"/>
  <c r="AV12" i="7" s="1"/>
  <c r="AL12" i="6"/>
  <c r="AV12" i="6" s="1"/>
  <c r="AT12" i="1"/>
  <c r="AH12" i="14"/>
  <c r="AR12" i="14" s="1"/>
  <c r="AH12" i="13"/>
  <c r="AR12" i="13" s="1"/>
  <c r="AH12" i="11"/>
  <c r="AR12" i="11" s="1"/>
  <c r="AH12" i="12"/>
  <c r="AR12" i="12" s="1"/>
  <c r="AH12" i="10"/>
  <c r="AR12" i="10" s="1"/>
  <c r="AH12" i="8"/>
  <c r="AR12" i="8" s="1"/>
  <c r="AH12" i="5"/>
  <c r="AR12" i="5" s="1"/>
  <c r="AH12" i="2"/>
  <c r="AR12" i="2" s="1"/>
  <c r="AH12" i="9"/>
  <c r="AR12" i="9" s="1"/>
  <c r="AH12" i="7"/>
  <c r="AR12" i="7" s="1"/>
  <c r="AR12" i="6"/>
  <c r="AZ11" i="1"/>
  <c r="AN11" i="14"/>
  <c r="AX11" i="14" s="1"/>
  <c r="AN11" i="12"/>
  <c r="AX11" i="12" s="1"/>
  <c r="AN11" i="11"/>
  <c r="AX11" i="11" s="1"/>
  <c r="AN11" i="13"/>
  <c r="AX11" i="13" s="1"/>
  <c r="AN11" i="9"/>
  <c r="AX11" i="9" s="1"/>
  <c r="AN11" i="8"/>
  <c r="AX11" i="8" s="1"/>
  <c r="AN11" i="10"/>
  <c r="AX11" i="10" s="1"/>
  <c r="AN11" i="7"/>
  <c r="AX11" i="7" s="1"/>
  <c r="AN11" i="6"/>
  <c r="AX11" i="6" s="1"/>
  <c r="AN11" i="5"/>
  <c r="AX11" i="5" s="1"/>
  <c r="AN11" i="2"/>
  <c r="AX11" i="2" s="1"/>
  <c r="AV11" i="1"/>
  <c r="AJ11" i="14"/>
  <c r="AT11" i="14" s="1"/>
  <c r="AJ11" i="12"/>
  <c r="AT11" i="12" s="1"/>
  <c r="AJ11" i="11"/>
  <c r="AT11" i="11" s="1"/>
  <c r="AJ11" i="9"/>
  <c r="AT11" i="9" s="1"/>
  <c r="AJ11" i="13"/>
  <c r="AT11" i="13" s="1"/>
  <c r="AJ11" i="8"/>
  <c r="AT11" i="8" s="1"/>
  <c r="AJ11" i="7"/>
  <c r="AT11" i="7" s="1"/>
  <c r="AJ11" i="6"/>
  <c r="AT11" i="6" s="1"/>
  <c r="AJ11" i="5"/>
  <c r="AT11" i="5" s="1"/>
  <c r="AJ11" i="2"/>
  <c r="AT11" i="2" s="1"/>
  <c r="AJ11" i="10"/>
  <c r="AT11" i="10" s="1"/>
  <c r="BB10" i="1"/>
  <c r="AP10" i="14"/>
  <c r="AZ10" i="14" s="1"/>
  <c r="AP10" i="13"/>
  <c r="AZ10" i="13" s="1"/>
  <c r="AP10" i="12"/>
  <c r="AZ10" i="12" s="1"/>
  <c r="AP10" i="10"/>
  <c r="AZ10" i="10" s="1"/>
  <c r="AP10" i="9"/>
  <c r="AZ10" i="9" s="1"/>
  <c r="AP10" i="11"/>
  <c r="AZ10" i="11" s="1"/>
  <c r="AP10" i="8"/>
  <c r="AZ10" i="8" s="1"/>
  <c r="AP10" i="2"/>
  <c r="AZ10" i="2" s="1"/>
  <c r="AP10" i="6"/>
  <c r="AZ10" i="6" s="1"/>
  <c r="AP10" i="7"/>
  <c r="AZ10" i="7" s="1"/>
  <c r="AP10" i="5"/>
  <c r="AZ10" i="5" s="1"/>
  <c r="AX10" i="1"/>
  <c r="AL10" i="14"/>
  <c r="AV10" i="14" s="1"/>
  <c r="AL10" i="13"/>
  <c r="AV10" i="13" s="1"/>
  <c r="AL10" i="12"/>
  <c r="AV10" i="12" s="1"/>
  <c r="AL10" i="11"/>
  <c r="AV10" i="11" s="1"/>
  <c r="AL10" i="10"/>
  <c r="AV10" i="10" s="1"/>
  <c r="AL10" i="9"/>
  <c r="AV10" i="9" s="1"/>
  <c r="AL10" i="8"/>
  <c r="AV10" i="8" s="1"/>
  <c r="AL10" i="2"/>
  <c r="AV10" i="2" s="1"/>
  <c r="AL10" i="7"/>
  <c r="AV10" i="7" s="1"/>
  <c r="AL10" i="6"/>
  <c r="AV10" i="6" s="1"/>
  <c r="AL10" i="5"/>
  <c r="AV10" i="5" s="1"/>
  <c r="AT10" i="1"/>
  <c r="AH10" i="14"/>
  <c r="AR10" i="14" s="1"/>
  <c r="AH10" i="13"/>
  <c r="AR10" i="13" s="1"/>
  <c r="AH10" i="12"/>
  <c r="AR10" i="12" s="1"/>
  <c r="AH10" i="10"/>
  <c r="AR10" i="10" s="1"/>
  <c r="AH10" i="9"/>
  <c r="AR10" i="9" s="1"/>
  <c r="AH10" i="11"/>
  <c r="AR10" i="11" s="1"/>
  <c r="AH10" i="2"/>
  <c r="AR10" i="2" s="1"/>
  <c r="AH10" i="8"/>
  <c r="AR10" i="8" s="1"/>
  <c r="AH10" i="7"/>
  <c r="AR10" i="7" s="1"/>
  <c r="AR10" i="6"/>
  <c r="AH10" i="5"/>
  <c r="AR10" i="5" s="1"/>
  <c r="AZ39" i="1"/>
  <c r="AN39" i="14"/>
  <c r="AX39" i="14" s="1"/>
  <c r="AN39" i="13"/>
  <c r="AX39" i="13" s="1"/>
  <c r="AN39" i="12"/>
  <c r="AX39" i="12" s="1"/>
  <c r="AN39" i="11"/>
  <c r="AX39" i="11" s="1"/>
  <c r="AN39" i="10"/>
  <c r="AX39" i="10" s="1"/>
  <c r="AN39" i="2"/>
  <c r="AX39" i="2" s="1"/>
  <c r="AN39" i="6"/>
  <c r="AX39" i="6" s="1"/>
  <c r="AN39" i="9"/>
  <c r="AX39" i="9" s="1"/>
  <c r="AN39" i="8"/>
  <c r="AX39" i="8" s="1"/>
  <c r="AN39" i="5"/>
  <c r="AX39" i="5" s="1"/>
  <c r="AN39" i="7"/>
  <c r="AX39" i="7" s="1"/>
  <c r="AV39" i="1"/>
  <c r="AJ39" i="14"/>
  <c r="AT39" i="14" s="1"/>
  <c r="AJ39" i="13"/>
  <c r="AT39" i="13" s="1"/>
  <c r="AJ39" i="12"/>
  <c r="AT39" i="12" s="1"/>
  <c r="AJ39" i="11"/>
  <c r="AT39" i="11" s="1"/>
  <c r="AJ39" i="10"/>
  <c r="AT39" i="10" s="1"/>
  <c r="AJ39" i="9"/>
  <c r="AT39" i="9" s="1"/>
  <c r="AJ39" i="8"/>
  <c r="AT39" i="8" s="1"/>
  <c r="AJ39" i="2"/>
  <c r="AT39" i="2" s="1"/>
  <c r="AJ39" i="6"/>
  <c r="AT39" i="6" s="1"/>
  <c r="AJ39" i="7"/>
  <c r="AT39" i="7" s="1"/>
  <c r="AJ39" i="5"/>
  <c r="AT39" i="5" s="1"/>
  <c r="BB38" i="1"/>
  <c r="AP38" i="14"/>
  <c r="AZ38" i="14" s="1"/>
  <c r="AP38" i="13"/>
  <c r="AZ38" i="13" s="1"/>
  <c r="AP38" i="12"/>
  <c r="AZ38" i="12" s="1"/>
  <c r="AP38" i="11"/>
  <c r="AZ38" i="11" s="1"/>
  <c r="AP38" i="9"/>
  <c r="AZ38" i="9" s="1"/>
  <c r="AP38" i="10"/>
  <c r="AZ38" i="10" s="1"/>
  <c r="AP38" i="8"/>
  <c r="AZ38" i="8" s="1"/>
  <c r="AP38" i="2"/>
  <c r="AZ38" i="2" s="1"/>
  <c r="AP38" i="7"/>
  <c r="AZ38" i="7" s="1"/>
  <c r="AP38" i="6"/>
  <c r="AZ38" i="6" s="1"/>
  <c r="AP38" i="5"/>
  <c r="AZ38" i="5" s="1"/>
  <c r="AX38" i="1"/>
  <c r="AL38" i="14"/>
  <c r="AV38" i="14" s="1"/>
  <c r="AL38" i="13"/>
  <c r="AV38" i="13" s="1"/>
  <c r="AL38" i="12"/>
  <c r="AV38" i="12" s="1"/>
  <c r="AL38" i="11"/>
  <c r="AV38" i="11" s="1"/>
  <c r="AL38" i="9"/>
  <c r="AV38" i="9" s="1"/>
  <c r="AL38" i="8"/>
  <c r="AV38" i="8" s="1"/>
  <c r="AL38" i="10"/>
  <c r="AV38" i="10" s="1"/>
  <c r="AL38" i="2"/>
  <c r="AV38" i="2" s="1"/>
  <c r="AL38" i="7"/>
  <c r="AV38" i="7" s="1"/>
  <c r="AL38" i="6"/>
  <c r="AV38" i="6" s="1"/>
  <c r="AL38" i="5"/>
  <c r="AV38" i="5" s="1"/>
  <c r="AZ37" i="1"/>
  <c r="AN37" i="14"/>
  <c r="AX37" i="14" s="1"/>
  <c r="AN37" i="13"/>
  <c r="AX37" i="13" s="1"/>
  <c r="AN37" i="12"/>
  <c r="AX37" i="12" s="1"/>
  <c r="AN37" i="11"/>
  <c r="AX37" i="11" s="1"/>
  <c r="AN37" i="10"/>
  <c r="AX37" i="10" s="1"/>
  <c r="AN37" i="8"/>
  <c r="AX37" i="8" s="1"/>
  <c r="AN37" i="6"/>
  <c r="AX37" i="6" s="1"/>
  <c r="AN37" i="5"/>
  <c r="AX37" i="5" s="1"/>
  <c r="AN37" i="7"/>
  <c r="AX37" i="7" s="1"/>
  <c r="AN37" i="2"/>
  <c r="AX37" i="2" s="1"/>
  <c r="AN37" i="9"/>
  <c r="AX37" i="9" s="1"/>
  <c r="AV37" i="1"/>
  <c r="AJ37" i="14"/>
  <c r="AT37" i="14" s="1"/>
  <c r="AJ37" i="13"/>
  <c r="AT37" i="13" s="1"/>
  <c r="AJ37" i="12"/>
  <c r="AT37" i="12" s="1"/>
  <c r="AJ37" i="10"/>
  <c r="AT37" i="10" s="1"/>
  <c r="AJ37" i="11"/>
  <c r="AT37" i="11" s="1"/>
  <c r="AJ37" i="9"/>
  <c r="AT37" i="9" s="1"/>
  <c r="AJ37" i="8"/>
  <c r="AT37" i="8" s="1"/>
  <c r="AJ37" i="6"/>
  <c r="AT37" i="6" s="1"/>
  <c r="AJ37" i="5"/>
  <c r="AT37" i="5" s="1"/>
  <c r="AJ37" i="7"/>
  <c r="AT37" i="7" s="1"/>
  <c r="AJ37" i="2"/>
  <c r="AT37" i="2" s="1"/>
  <c r="BB36" i="1"/>
  <c r="AP36" i="14"/>
  <c r="AZ36" i="14" s="1"/>
  <c r="AP36" i="12"/>
  <c r="AZ36" i="12" s="1"/>
  <c r="AP36" i="13"/>
  <c r="AZ36" i="13" s="1"/>
  <c r="AP36" i="11"/>
  <c r="AZ36" i="11" s="1"/>
  <c r="AP36" i="10"/>
  <c r="AZ36" i="10" s="1"/>
  <c r="AP36" i="9"/>
  <c r="AZ36" i="9" s="1"/>
  <c r="AP36" i="8"/>
  <c r="AZ36" i="8" s="1"/>
  <c r="AP36" i="7"/>
  <c r="AZ36" i="7" s="1"/>
  <c r="AP36" i="6"/>
  <c r="AZ36" i="6" s="1"/>
  <c r="AP36" i="5"/>
  <c r="AZ36" i="5" s="1"/>
  <c r="AP36" i="2"/>
  <c r="AZ36" i="2" s="1"/>
  <c r="AX36" i="1"/>
  <c r="AL36" i="14"/>
  <c r="AV36" i="14" s="1"/>
  <c r="AL36" i="13"/>
  <c r="AV36" i="13" s="1"/>
  <c r="AL36" i="12"/>
  <c r="AV36" i="12" s="1"/>
  <c r="AL36" i="11"/>
  <c r="AV36" i="11" s="1"/>
  <c r="AL36" i="10"/>
  <c r="AV36" i="10" s="1"/>
  <c r="AL36" i="9"/>
  <c r="AV36" i="9" s="1"/>
  <c r="AL36" i="8"/>
  <c r="AV36" i="8" s="1"/>
  <c r="AL36" i="7"/>
  <c r="AV36" i="7" s="1"/>
  <c r="AL36" i="6"/>
  <c r="AV36" i="6" s="1"/>
  <c r="AL36" i="5"/>
  <c r="AV36" i="5" s="1"/>
  <c r="AL36" i="2"/>
  <c r="AV36" i="2" s="1"/>
  <c r="AZ35" i="1"/>
  <c r="AN35" i="14"/>
  <c r="AX35" i="14" s="1"/>
  <c r="AN35" i="13"/>
  <c r="AX35" i="13" s="1"/>
  <c r="AN35" i="12"/>
  <c r="AX35" i="12" s="1"/>
  <c r="AN35" i="11"/>
  <c r="AX35" i="11" s="1"/>
  <c r="AN35" i="10"/>
  <c r="AX35" i="10" s="1"/>
  <c r="AN35" i="2"/>
  <c r="AX35" i="2" s="1"/>
  <c r="AN35" i="8"/>
  <c r="AX35" i="8" s="1"/>
  <c r="AN35" i="9"/>
  <c r="AX35" i="9" s="1"/>
  <c r="AN35" i="7"/>
  <c r="AX35" i="7" s="1"/>
  <c r="AN35" i="6"/>
  <c r="AX35" i="6" s="1"/>
  <c r="AN35" i="5"/>
  <c r="AX35" i="5" s="1"/>
  <c r="AV35" i="1"/>
  <c r="AJ35" i="14"/>
  <c r="AT35" i="14" s="1"/>
  <c r="AJ35" i="13"/>
  <c r="AT35" i="13" s="1"/>
  <c r="AJ35" i="12"/>
  <c r="AT35" i="12" s="1"/>
  <c r="AJ35" i="11"/>
  <c r="AT35" i="11" s="1"/>
  <c r="AJ35" i="10"/>
  <c r="AT35" i="10" s="1"/>
  <c r="AJ35" i="9"/>
  <c r="AT35" i="9" s="1"/>
  <c r="AJ35" i="2"/>
  <c r="AT35" i="2" s="1"/>
  <c r="AJ35" i="6"/>
  <c r="AT35" i="6" s="1"/>
  <c r="AJ35" i="7"/>
  <c r="AT35" i="7" s="1"/>
  <c r="AJ35" i="5"/>
  <c r="AT35" i="5" s="1"/>
  <c r="AJ35" i="8"/>
  <c r="AT35" i="8" s="1"/>
  <c r="BB34" i="1"/>
  <c r="AP34" i="14"/>
  <c r="AZ34" i="14" s="1"/>
  <c r="AP34" i="12"/>
  <c r="AZ34" i="12" s="1"/>
  <c r="AP34" i="13"/>
  <c r="AZ34" i="13" s="1"/>
  <c r="AP34" i="11"/>
  <c r="AZ34" i="11" s="1"/>
  <c r="AP34" i="9"/>
  <c r="AZ34" i="9" s="1"/>
  <c r="AP34" i="8"/>
  <c r="AZ34" i="8" s="1"/>
  <c r="AP34" i="2"/>
  <c r="AZ34" i="2" s="1"/>
  <c r="AP34" i="10"/>
  <c r="AZ34" i="10" s="1"/>
  <c r="AP34" i="7"/>
  <c r="AZ34" i="7" s="1"/>
  <c r="AP34" i="6"/>
  <c r="AZ34" i="6" s="1"/>
  <c r="AP34" i="5"/>
  <c r="AZ34" i="5" s="1"/>
  <c r="AX34" i="1"/>
  <c r="AL34" i="14"/>
  <c r="AV34" i="14" s="1"/>
  <c r="AL34" i="12"/>
  <c r="AV34" i="12" s="1"/>
  <c r="AL34" i="13"/>
  <c r="AV34" i="13" s="1"/>
  <c r="AL34" i="11"/>
  <c r="AV34" i="11" s="1"/>
  <c r="AL34" i="9"/>
  <c r="AV34" i="9" s="1"/>
  <c r="AL34" i="10"/>
  <c r="AV34" i="10" s="1"/>
  <c r="AL34" i="8"/>
  <c r="AV34" i="8" s="1"/>
  <c r="AL34" i="2"/>
  <c r="AV34" i="2" s="1"/>
  <c r="AL34" i="7"/>
  <c r="AV34" i="7" s="1"/>
  <c r="AL34" i="5"/>
  <c r="AV34" i="5" s="1"/>
  <c r="AL34" i="6"/>
  <c r="AV34" i="6" s="1"/>
  <c r="AJ84" i="1"/>
  <c r="AK84" i="1"/>
  <c r="AL84" i="1"/>
  <c r="AJ84" i="7" s="1"/>
  <c r="AT84" i="7" s="1"/>
  <c r="AM84" i="1"/>
  <c r="AK84" i="7" s="1"/>
  <c r="AN84" i="1"/>
  <c r="AL84" i="7" s="1"/>
  <c r="AO84" i="1"/>
  <c r="AM84" i="7" s="1"/>
  <c r="AP84" i="1"/>
  <c r="AN84" i="7" s="1"/>
  <c r="AQ84" i="1"/>
  <c r="AO84" i="7" s="1"/>
  <c r="AR84" i="1"/>
  <c r="AP84" i="7" s="1"/>
  <c r="AS84" i="1"/>
  <c r="AQ84" i="7" s="1"/>
  <c r="AJ85" i="1"/>
  <c r="AK85" i="1"/>
  <c r="AL85" i="1"/>
  <c r="AJ85" i="7" s="1"/>
  <c r="AT85" i="7" s="1"/>
  <c r="AM85" i="1"/>
  <c r="AK85" i="7" s="1"/>
  <c r="AN85" i="1"/>
  <c r="AL85" i="7" s="1"/>
  <c r="AO85" i="1"/>
  <c r="AM85" i="7" s="1"/>
  <c r="AP85" i="1"/>
  <c r="AN85" i="7" s="1"/>
  <c r="AQ85" i="1"/>
  <c r="AO85" i="7" s="1"/>
  <c r="AR85" i="1"/>
  <c r="AP85" i="7" s="1"/>
  <c r="AS85" i="1"/>
  <c r="AQ85" i="7" s="1"/>
  <c r="AJ83" i="1"/>
  <c r="AJ18" i="1"/>
  <c r="AK18" i="1"/>
  <c r="AL18" i="1"/>
  <c r="AM18" i="1"/>
  <c r="AN18" i="1"/>
  <c r="AO18" i="1"/>
  <c r="AP18" i="1"/>
  <c r="AQ18" i="1"/>
  <c r="AR18" i="1"/>
  <c r="AS18" i="1"/>
  <c r="AJ19" i="1"/>
  <c r="AK19" i="1"/>
  <c r="AL19" i="1"/>
  <c r="AM19" i="1"/>
  <c r="AN19" i="1"/>
  <c r="AO19" i="1"/>
  <c r="AP19" i="1"/>
  <c r="AQ19" i="1"/>
  <c r="AR19" i="1"/>
  <c r="AS19" i="1"/>
  <c r="AJ20" i="1"/>
  <c r="AK20" i="1"/>
  <c r="AL20" i="1"/>
  <c r="AM20" i="1"/>
  <c r="AN20" i="1"/>
  <c r="AO20" i="1"/>
  <c r="AP20" i="1"/>
  <c r="AQ20" i="1"/>
  <c r="AR20" i="1"/>
  <c r="AS20" i="1"/>
  <c r="AJ58" i="1"/>
  <c r="AH58" i="6" s="1"/>
  <c r="AK58" i="1"/>
  <c r="AI58" i="6" s="1"/>
  <c r="AL58" i="1"/>
  <c r="AM58" i="1"/>
  <c r="AN58" i="1"/>
  <c r="AO58" i="1"/>
  <c r="AP58" i="1"/>
  <c r="AQ58" i="1"/>
  <c r="AR58" i="1"/>
  <c r="AS58" i="1"/>
  <c r="AJ59" i="1"/>
  <c r="AH59" i="6" s="1"/>
  <c r="AK59" i="1"/>
  <c r="AI59" i="6" s="1"/>
  <c r="AL59" i="1"/>
  <c r="AM59" i="1"/>
  <c r="AN59" i="1"/>
  <c r="AO59" i="1"/>
  <c r="AP59" i="1"/>
  <c r="AQ59" i="1"/>
  <c r="AR59" i="1"/>
  <c r="AS59" i="1"/>
  <c r="AJ60" i="1"/>
  <c r="AH60" i="6" s="1"/>
  <c r="AK60" i="1"/>
  <c r="AI60" i="6" s="1"/>
  <c r="AL60" i="1"/>
  <c r="AM60" i="1"/>
  <c r="AN60" i="1"/>
  <c r="AO60" i="1"/>
  <c r="AP60" i="1"/>
  <c r="AQ60" i="1"/>
  <c r="AR60" i="1"/>
  <c r="AS60" i="1"/>
  <c r="AJ61" i="1"/>
  <c r="AH61" i="6" s="1"/>
  <c r="AK61" i="1"/>
  <c r="AI61" i="6" s="1"/>
  <c r="AL61" i="1"/>
  <c r="AM61" i="1"/>
  <c r="AN61" i="1"/>
  <c r="AO61" i="1"/>
  <c r="AP61" i="1"/>
  <c r="AQ61" i="1"/>
  <c r="AR61" i="1"/>
  <c r="AS61" i="1"/>
  <c r="AJ62" i="1"/>
  <c r="AH62" i="6" s="1"/>
  <c r="AK62" i="1"/>
  <c r="AI62" i="6" s="1"/>
  <c r="AL62" i="1"/>
  <c r="AM62" i="1"/>
  <c r="AN62" i="1"/>
  <c r="AO62" i="1"/>
  <c r="AP62" i="1"/>
  <c r="AQ62" i="1"/>
  <c r="AR62" i="1"/>
  <c r="AS62" i="1"/>
  <c r="AJ63" i="1"/>
  <c r="AH63" i="6" s="1"/>
  <c r="AK63" i="1"/>
  <c r="AI63" i="6" s="1"/>
  <c r="AL63" i="1"/>
  <c r="AM63" i="1"/>
  <c r="AN63" i="1"/>
  <c r="AO63" i="1"/>
  <c r="AP63" i="1"/>
  <c r="AQ63" i="1"/>
  <c r="AR63" i="1"/>
  <c r="AS63" i="1"/>
  <c r="AJ64" i="1"/>
  <c r="AH64" i="6" s="1"/>
  <c r="AK64" i="1"/>
  <c r="AI64" i="6" s="1"/>
  <c r="AL64" i="1"/>
  <c r="AM64" i="1"/>
  <c r="AN64" i="1"/>
  <c r="AO64" i="1"/>
  <c r="AP64" i="1"/>
  <c r="AQ64" i="1"/>
  <c r="AR64" i="1"/>
  <c r="AS64" i="1"/>
  <c r="AJ65" i="1"/>
  <c r="AH65" i="6" s="1"/>
  <c r="AK65" i="1"/>
  <c r="AI65" i="6" s="1"/>
  <c r="AL65" i="1"/>
  <c r="AM65" i="1"/>
  <c r="AN65" i="1"/>
  <c r="AO65" i="1"/>
  <c r="AP65" i="1"/>
  <c r="AQ65" i="1"/>
  <c r="AR65" i="1"/>
  <c r="AS65" i="1"/>
  <c r="AJ66" i="1"/>
  <c r="AH66" i="6" s="1"/>
  <c r="AK66" i="1"/>
  <c r="AI66" i="6" s="1"/>
  <c r="AL66" i="1"/>
  <c r="AM66" i="1"/>
  <c r="AN66" i="1"/>
  <c r="AO66" i="1"/>
  <c r="AP66" i="1"/>
  <c r="AQ66" i="1"/>
  <c r="AR66" i="1"/>
  <c r="AS66" i="1"/>
  <c r="AJ67" i="1"/>
  <c r="AH67" i="6" s="1"/>
  <c r="AK67" i="1"/>
  <c r="AI67" i="6" s="1"/>
  <c r="AL67" i="1"/>
  <c r="AM67" i="1"/>
  <c r="AN67" i="1"/>
  <c r="AO67" i="1"/>
  <c r="AP67" i="1"/>
  <c r="AQ67" i="1"/>
  <c r="AR67" i="1"/>
  <c r="AS67" i="1"/>
  <c r="AJ25" i="1"/>
  <c r="AH25" i="6" s="1"/>
  <c r="AK25" i="1"/>
  <c r="AI25" i="6" s="1"/>
  <c r="AL25" i="1"/>
  <c r="AM25" i="1"/>
  <c r="AN25" i="1"/>
  <c r="AO25" i="1"/>
  <c r="AP25" i="1"/>
  <c r="AQ25" i="1"/>
  <c r="AR25" i="1"/>
  <c r="AS25" i="1"/>
  <c r="AJ26" i="1"/>
  <c r="AH26" i="6" s="1"/>
  <c r="AK26" i="1"/>
  <c r="AI26" i="6" s="1"/>
  <c r="AL26" i="1"/>
  <c r="AM26" i="1"/>
  <c r="AN26" i="1"/>
  <c r="AO26" i="1"/>
  <c r="AP26" i="1"/>
  <c r="AQ26" i="1"/>
  <c r="AR26" i="1"/>
  <c r="AS26" i="1"/>
  <c r="AJ27" i="1"/>
  <c r="AH27" i="6" s="1"/>
  <c r="AK27" i="1"/>
  <c r="AI27" i="6" s="1"/>
  <c r="AL27" i="1"/>
  <c r="AM27" i="1"/>
  <c r="AN27" i="1"/>
  <c r="AO27" i="1"/>
  <c r="AP27" i="1"/>
  <c r="AQ27" i="1"/>
  <c r="AR27" i="1"/>
  <c r="AS27" i="1"/>
  <c r="AJ28" i="1"/>
  <c r="AH28" i="6" s="1"/>
  <c r="AK28" i="1"/>
  <c r="AI28" i="6" s="1"/>
  <c r="AL28" i="1"/>
  <c r="AM28" i="1"/>
  <c r="AN28" i="1"/>
  <c r="AO28" i="1"/>
  <c r="AP28" i="1"/>
  <c r="AQ28" i="1"/>
  <c r="AR28" i="1"/>
  <c r="AS28" i="1"/>
  <c r="AJ29" i="1"/>
  <c r="AH29" i="6" s="1"/>
  <c r="AK29" i="1"/>
  <c r="AI29" i="6" s="1"/>
  <c r="AL29" i="1"/>
  <c r="AM29" i="1"/>
  <c r="AN29" i="1"/>
  <c r="AO29" i="1"/>
  <c r="AP29" i="1"/>
  <c r="AQ29" i="1"/>
  <c r="AR29" i="1"/>
  <c r="AS29" i="1"/>
  <c r="AI85" i="6" l="1"/>
  <c r="AI85" i="7"/>
  <c r="AS85" i="7" s="1"/>
  <c r="AH85" i="6"/>
  <c r="AH85" i="7"/>
  <c r="AR85" i="7" s="1"/>
  <c r="AI84" i="6"/>
  <c r="AI84" i="7"/>
  <c r="AS84" i="7" s="1"/>
  <c r="AH83" i="6"/>
  <c r="AH83" i="7"/>
  <c r="AR83" i="7" s="1"/>
  <c r="AH84" i="6"/>
  <c r="AH84" i="7"/>
  <c r="AR84" i="7" s="1"/>
  <c r="AX29" i="1"/>
  <c r="AL29" i="14"/>
  <c r="AV29" i="14" s="1"/>
  <c r="AL29" i="13"/>
  <c r="AV29" i="13" s="1"/>
  <c r="AL29" i="12"/>
  <c r="AV29" i="12" s="1"/>
  <c r="AL29" i="11"/>
  <c r="AV29" i="11" s="1"/>
  <c r="AL29" i="9"/>
  <c r="AV29" i="9" s="1"/>
  <c r="AL29" i="10"/>
  <c r="AV29" i="10" s="1"/>
  <c r="AL29" i="8"/>
  <c r="AV29" i="8" s="1"/>
  <c r="AL29" i="5"/>
  <c r="AV29" i="5" s="1"/>
  <c r="AL29" i="7"/>
  <c r="AV29" i="7" s="1"/>
  <c r="AL29" i="6"/>
  <c r="AV29" i="6" s="1"/>
  <c r="AL29" i="2"/>
  <c r="AV29" i="2" s="1"/>
  <c r="AV28" i="1"/>
  <c r="AJ28" i="14"/>
  <c r="AT28" i="14" s="1"/>
  <c r="AJ28" i="13"/>
  <c r="AT28" i="13" s="1"/>
  <c r="AJ28" i="12"/>
  <c r="AT28" i="12" s="1"/>
  <c r="AJ28" i="11"/>
  <c r="AT28" i="11" s="1"/>
  <c r="AJ28" i="8"/>
  <c r="AT28" i="8" s="1"/>
  <c r="AJ28" i="9"/>
  <c r="AT28" i="9" s="1"/>
  <c r="AJ28" i="10"/>
  <c r="AT28" i="10" s="1"/>
  <c r="AJ28" i="6"/>
  <c r="AT28" i="6" s="1"/>
  <c r="AJ28" i="7"/>
  <c r="AT28" i="7" s="1"/>
  <c r="AJ28" i="2"/>
  <c r="AT28" i="2" s="1"/>
  <c r="AJ28" i="5"/>
  <c r="AT28" i="5" s="1"/>
  <c r="AX27" i="1"/>
  <c r="AL27" i="14"/>
  <c r="AV27" i="14" s="1"/>
  <c r="AL27" i="13"/>
  <c r="AV27" i="13" s="1"/>
  <c r="AL27" i="12"/>
  <c r="AV27" i="12" s="1"/>
  <c r="AL27" i="11"/>
  <c r="AV27" i="11" s="1"/>
  <c r="AL27" i="9"/>
  <c r="AV27" i="9" s="1"/>
  <c r="AL27" i="10"/>
  <c r="AV27" i="10" s="1"/>
  <c r="AL27" i="8"/>
  <c r="AV27" i="8" s="1"/>
  <c r="AL27" i="7"/>
  <c r="AV27" i="7" s="1"/>
  <c r="AL27" i="6"/>
  <c r="AV27" i="6" s="1"/>
  <c r="AL27" i="5"/>
  <c r="AV27" i="5" s="1"/>
  <c r="AL27" i="2"/>
  <c r="AV27" i="2" s="1"/>
  <c r="AV26" i="1"/>
  <c r="AJ26" i="14"/>
  <c r="AT26" i="14" s="1"/>
  <c r="AJ26" i="13"/>
  <c r="AT26" i="13" s="1"/>
  <c r="AJ26" i="12"/>
  <c r="AT26" i="12" s="1"/>
  <c r="AJ26" i="11"/>
  <c r="AT26" i="11" s="1"/>
  <c r="AJ26" i="10"/>
  <c r="AT26" i="10" s="1"/>
  <c r="AJ26" i="9"/>
  <c r="AT26" i="9" s="1"/>
  <c r="AJ26" i="8"/>
  <c r="AT26" i="8" s="1"/>
  <c r="AJ26" i="7"/>
  <c r="AT26" i="7" s="1"/>
  <c r="AJ26" i="5"/>
  <c r="AT26" i="5" s="1"/>
  <c r="AJ26" i="6"/>
  <c r="AT26" i="6" s="1"/>
  <c r="AJ26" i="2"/>
  <c r="AT26" i="2" s="1"/>
  <c r="AT25" i="1"/>
  <c r="AH25" i="13"/>
  <c r="AR25" i="13" s="1"/>
  <c r="AH25" i="14"/>
  <c r="AR25" i="14" s="1"/>
  <c r="AH25" i="12"/>
  <c r="AR25" i="12" s="1"/>
  <c r="AH25" i="11"/>
  <c r="AR25" i="11" s="1"/>
  <c r="AH25" i="9"/>
  <c r="AR25" i="9" s="1"/>
  <c r="AH25" i="10"/>
  <c r="AR25" i="10" s="1"/>
  <c r="AH25" i="8"/>
  <c r="AR25" i="8" s="1"/>
  <c r="AH25" i="5"/>
  <c r="AR25" i="5" s="1"/>
  <c r="AR25" i="6"/>
  <c r="AH25" i="7"/>
  <c r="AR25" i="7" s="1"/>
  <c r="AH25" i="2"/>
  <c r="AR25" i="2" s="1"/>
  <c r="BB66" i="1"/>
  <c r="AP66" i="14"/>
  <c r="AZ66" i="14" s="1"/>
  <c r="AP66" i="13"/>
  <c r="AZ66" i="13" s="1"/>
  <c r="AP66" i="11"/>
  <c r="AZ66" i="11" s="1"/>
  <c r="AP66" i="10"/>
  <c r="AZ66" i="10" s="1"/>
  <c r="AP66" i="9"/>
  <c r="AZ66" i="9" s="1"/>
  <c r="AP66" i="8"/>
  <c r="AZ66" i="8" s="1"/>
  <c r="AP66" i="5"/>
  <c r="AZ66" i="5" s="1"/>
  <c r="AP66" i="12"/>
  <c r="AZ66" i="12" s="1"/>
  <c r="AP66" i="7"/>
  <c r="AZ66" i="7" s="1"/>
  <c r="AP66" i="2"/>
  <c r="AZ66" i="2" s="1"/>
  <c r="AP66" i="6"/>
  <c r="AZ66" i="6" s="1"/>
  <c r="AV65" i="1"/>
  <c r="AJ65" i="14"/>
  <c r="AT65" i="14" s="1"/>
  <c r="AJ65" i="13"/>
  <c r="AT65" i="13" s="1"/>
  <c r="AJ65" i="12"/>
  <c r="AT65" i="12" s="1"/>
  <c r="AJ65" i="9"/>
  <c r="AT65" i="9" s="1"/>
  <c r="AJ65" i="11"/>
  <c r="AT65" i="11" s="1"/>
  <c r="AJ65" i="8"/>
  <c r="AT65" i="8" s="1"/>
  <c r="AJ65" i="7"/>
  <c r="AT65" i="7" s="1"/>
  <c r="AJ65" i="6"/>
  <c r="AT65" i="6" s="1"/>
  <c r="AJ65" i="5"/>
  <c r="AT65" i="5" s="1"/>
  <c r="AJ65" i="2"/>
  <c r="AT65" i="2" s="1"/>
  <c r="AJ65" i="10"/>
  <c r="AT65" i="10" s="1"/>
  <c r="AT64" i="1"/>
  <c r="AH64" i="14"/>
  <c r="AR64" i="14" s="1"/>
  <c r="AH64" i="13"/>
  <c r="AR64" i="13" s="1"/>
  <c r="AH64" i="12"/>
  <c r="AR64" i="12" s="1"/>
  <c r="AH64" i="9"/>
  <c r="AR64" i="9" s="1"/>
  <c r="AH64" i="11"/>
  <c r="AR64" i="11" s="1"/>
  <c r="AH64" i="10"/>
  <c r="AR64" i="10" s="1"/>
  <c r="AH64" i="8"/>
  <c r="AR64" i="8" s="1"/>
  <c r="AH64" i="5"/>
  <c r="AR64" i="5" s="1"/>
  <c r="AH64" i="7"/>
  <c r="AR64" i="7" s="1"/>
  <c r="AR64" i="6"/>
  <c r="AH64" i="2"/>
  <c r="AR64" i="2" s="1"/>
  <c r="BB62" i="1"/>
  <c r="AP62" i="14"/>
  <c r="AZ62" i="14" s="1"/>
  <c r="AP62" i="13"/>
  <c r="AZ62" i="13" s="1"/>
  <c r="AP62" i="12"/>
  <c r="AZ62" i="12" s="1"/>
  <c r="AP62" i="11"/>
  <c r="AZ62" i="11" s="1"/>
  <c r="AP62" i="10"/>
  <c r="AZ62" i="10" s="1"/>
  <c r="AP62" i="9"/>
  <c r="AZ62" i="9" s="1"/>
  <c r="AP62" i="8"/>
  <c r="AZ62" i="8" s="1"/>
  <c r="AP62" i="7"/>
  <c r="AZ62" i="7" s="1"/>
  <c r="AP62" i="2"/>
  <c r="AZ62" i="2" s="1"/>
  <c r="AP62" i="6"/>
  <c r="AZ62" i="6" s="1"/>
  <c r="AP62" i="5"/>
  <c r="AZ62" i="5" s="1"/>
  <c r="AT62" i="1"/>
  <c r="AH62" i="14"/>
  <c r="AR62" i="14" s="1"/>
  <c r="AH62" i="12"/>
  <c r="AR62" i="12" s="1"/>
  <c r="AH62" i="13"/>
  <c r="AR62" i="13" s="1"/>
  <c r="AH62" i="11"/>
  <c r="AR62" i="11" s="1"/>
  <c r="AH62" i="10"/>
  <c r="AR62" i="10" s="1"/>
  <c r="AH62" i="9"/>
  <c r="AR62" i="9" s="1"/>
  <c r="AH62" i="8"/>
  <c r="AR62" i="8" s="1"/>
  <c r="AH62" i="2"/>
  <c r="AR62" i="2" s="1"/>
  <c r="AH62" i="7"/>
  <c r="AR62" i="7" s="1"/>
  <c r="AR62" i="6"/>
  <c r="AH62" i="5"/>
  <c r="AR62" i="5" s="1"/>
  <c r="AX60" i="1"/>
  <c r="AL60" i="14"/>
  <c r="AV60" i="14" s="1"/>
  <c r="AL60" i="13"/>
  <c r="AV60" i="13" s="1"/>
  <c r="AL60" i="12"/>
  <c r="AV60" i="12" s="1"/>
  <c r="AL60" i="10"/>
  <c r="AV60" i="10" s="1"/>
  <c r="AL60" i="11"/>
  <c r="AV60" i="11" s="1"/>
  <c r="AL60" i="8"/>
  <c r="AV60" i="8" s="1"/>
  <c r="AL60" i="7"/>
  <c r="AV60" i="7" s="1"/>
  <c r="AL60" i="5"/>
  <c r="AV60" i="5" s="1"/>
  <c r="AL60" i="2"/>
  <c r="AV60" i="2" s="1"/>
  <c r="AL60" i="9"/>
  <c r="AV60" i="9" s="1"/>
  <c r="AL60" i="6"/>
  <c r="AV60" i="6" s="1"/>
  <c r="AV59" i="1"/>
  <c r="AJ59" i="14"/>
  <c r="AT59" i="14" s="1"/>
  <c r="AJ59" i="12"/>
  <c r="AT59" i="12" s="1"/>
  <c r="AJ59" i="13"/>
  <c r="AT59" i="13" s="1"/>
  <c r="AJ59" i="10"/>
  <c r="AT59" i="10" s="1"/>
  <c r="AJ59" i="11"/>
  <c r="AT59" i="11" s="1"/>
  <c r="AJ59" i="8"/>
  <c r="AT59" i="8" s="1"/>
  <c r="AJ59" i="7"/>
  <c r="AT59" i="7" s="1"/>
  <c r="AJ59" i="9"/>
  <c r="AT59" i="9" s="1"/>
  <c r="AJ59" i="5"/>
  <c r="AT59" i="5" s="1"/>
  <c r="AJ59" i="2"/>
  <c r="AT59" i="2" s="1"/>
  <c r="AJ59" i="6"/>
  <c r="AT59" i="6" s="1"/>
  <c r="AX58" i="1"/>
  <c r="AL58" i="14"/>
  <c r="AV58" i="14" s="1"/>
  <c r="AL58" i="13"/>
  <c r="AV58" i="13" s="1"/>
  <c r="AL58" i="12"/>
  <c r="AV58" i="12" s="1"/>
  <c r="AL58" i="10"/>
  <c r="AV58" i="10" s="1"/>
  <c r="AL58" i="11"/>
  <c r="AV58" i="11" s="1"/>
  <c r="AL58" i="9"/>
  <c r="AV58" i="9" s="1"/>
  <c r="AL58" i="8"/>
  <c r="AV58" i="8" s="1"/>
  <c r="AL58" i="6"/>
  <c r="AV58" i="6" s="1"/>
  <c r="AL58" i="5"/>
  <c r="AV58" i="5" s="1"/>
  <c r="AL58" i="2"/>
  <c r="AV58" i="2" s="1"/>
  <c r="AL58" i="7"/>
  <c r="AV58" i="7" s="1"/>
  <c r="AV20" i="1"/>
  <c r="AJ20" i="14"/>
  <c r="AT20" i="14" s="1"/>
  <c r="AJ20" i="13"/>
  <c r="AT20" i="13" s="1"/>
  <c r="AJ20" i="12"/>
  <c r="AT20" i="12" s="1"/>
  <c r="AJ20" i="11"/>
  <c r="AT20" i="11" s="1"/>
  <c r="AJ20" i="10"/>
  <c r="AT20" i="10" s="1"/>
  <c r="AJ20" i="8"/>
  <c r="AT20" i="8" s="1"/>
  <c r="AJ20" i="9"/>
  <c r="AT20" i="9" s="1"/>
  <c r="AJ20" i="7"/>
  <c r="AT20" i="7" s="1"/>
  <c r="AJ20" i="6"/>
  <c r="AT20" i="6" s="1"/>
  <c r="AJ20" i="5"/>
  <c r="AT20" i="5" s="1"/>
  <c r="AJ20" i="2"/>
  <c r="AT20" i="2" s="1"/>
  <c r="AT19" i="1"/>
  <c r="AH19" i="13"/>
  <c r="AR19" i="13" s="1"/>
  <c r="AH19" i="14"/>
  <c r="AR19" i="14" s="1"/>
  <c r="AH19" i="12"/>
  <c r="AR19" i="12" s="1"/>
  <c r="AH19" i="11"/>
  <c r="AR19" i="11" s="1"/>
  <c r="AH19" i="10"/>
  <c r="AR19" i="10" s="1"/>
  <c r="AH19" i="9"/>
  <c r="AR19" i="9" s="1"/>
  <c r="AH19" i="8"/>
  <c r="AR19" i="8" s="1"/>
  <c r="AH19" i="7"/>
  <c r="AR19" i="7" s="1"/>
  <c r="AR19" i="6"/>
  <c r="AH19" i="2"/>
  <c r="AR19" i="2" s="1"/>
  <c r="AH19" i="5"/>
  <c r="AR19" i="5" s="1"/>
  <c r="BC85" i="1"/>
  <c r="AQ85" i="14"/>
  <c r="BA85" i="14" s="1"/>
  <c r="AQ85" i="13"/>
  <c r="BA85" i="13" s="1"/>
  <c r="AQ85" i="12"/>
  <c r="BA85" i="12" s="1"/>
  <c r="AQ85" i="11"/>
  <c r="BA85" i="11" s="1"/>
  <c r="AQ85" i="10"/>
  <c r="BA85" i="10" s="1"/>
  <c r="AQ85" i="9"/>
  <c r="BA85" i="9" s="1"/>
  <c r="AQ85" i="8"/>
  <c r="BA85" i="8" s="1"/>
  <c r="BA85" i="7"/>
  <c r="AQ85" i="6"/>
  <c r="BA85" i="6" s="1"/>
  <c r="AQ85" i="2"/>
  <c r="BA85" i="2" s="1"/>
  <c r="AQ85" i="5"/>
  <c r="BA85" i="5" s="1"/>
  <c r="BA84" i="1"/>
  <c r="AO84" i="14"/>
  <c r="AY84" i="14" s="1"/>
  <c r="AO84" i="13"/>
  <c r="AY84" i="13" s="1"/>
  <c r="AO84" i="12"/>
  <c r="AY84" i="12" s="1"/>
  <c r="AO84" i="11"/>
  <c r="AY84" i="11" s="1"/>
  <c r="AO84" i="10"/>
  <c r="AY84" i="10" s="1"/>
  <c r="AY84" i="7"/>
  <c r="AO84" i="9"/>
  <c r="AY84" i="9" s="1"/>
  <c r="AO84" i="8"/>
  <c r="AY84" i="8" s="1"/>
  <c r="AO84" i="6"/>
  <c r="AY84" i="6" s="1"/>
  <c r="AO84" i="5"/>
  <c r="AY84" i="5" s="1"/>
  <c r="AO84" i="2"/>
  <c r="AY84" i="2" s="1"/>
  <c r="BA29" i="1"/>
  <c r="AO29" i="14"/>
  <c r="AY29" i="14" s="1"/>
  <c r="AO29" i="13"/>
  <c r="AY29" i="13" s="1"/>
  <c r="AO29" i="12"/>
  <c r="AY29" i="12" s="1"/>
  <c r="AO29" i="10"/>
  <c r="AY29" i="10" s="1"/>
  <c r="AO29" i="8"/>
  <c r="AY29" i="8" s="1"/>
  <c r="AO29" i="11"/>
  <c r="AY29" i="11" s="1"/>
  <c r="AO29" i="9"/>
  <c r="AY29" i="9" s="1"/>
  <c r="AO29" i="7"/>
  <c r="AY29" i="7" s="1"/>
  <c r="AO29" i="6"/>
  <c r="AY29" i="6" s="1"/>
  <c r="AO29" i="5"/>
  <c r="AY29" i="5" s="1"/>
  <c r="AO29" i="2"/>
  <c r="AY29" i="2" s="1"/>
  <c r="AW29" i="1"/>
  <c r="AK29" i="14"/>
  <c r="AU29" i="14" s="1"/>
  <c r="AK29" i="13"/>
  <c r="AU29" i="13" s="1"/>
  <c r="AK29" i="12"/>
  <c r="AU29" i="12" s="1"/>
  <c r="AK29" i="10"/>
  <c r="AU29" i="10" s="1"/>
  <c r="AK29" i="11"/>
  <c r="AU29" i="11" s="1"/>
  <c r="AK29" i="9"/>
  <c r="AU29" i="9" s="1"/>
  <c r="AK29" i="8"/>
  <c r="AU29" i="8" s="1"/>
  <c r="AK29" i="7"/>
  <c r="AU29" i="7" s="1"/>
  <c r="AK29" i="6"/>
  <c r="AU29" i="6" s="1"/>
  <c r="AK29" i="2"/>
  <c r="AU29" i="2" s="1"/>
  <c r="AK29" i="5"/>
  <c r="AU29" i="5" s="1"/>
  <c r="BC28" i="1"/>
  <c r="AQ28" i="13"/>
  <c r="BA28" i="13" s="1"/>
  <c r="AQ28" i="14"/>
  <c r="BA28" i="14" s="1"/>
  <c r="AQ28" i="11"/>
  <c r="BA28" i="11" s="1"/>
  <c r="AQ28" i="10"/>
  <c r="BA28" i="10" s="1"/>
  <c r="AQ28" i="9"/>
  <c r="BA28" i="9" s="1"/>
  <c r="AQ28" i="12"/>
  <c r="BA28" i="12" s="1"/>
  <c r="AQ28" i="8"/>
  <c r="BA28" i="8" s="1"/>
  <c r="AQ28" i="6"/>
  <c r="BA28" i="6" s="1"/>
  <c r="AQ28" i="5"/>
  <c r="BA28" i="5" s="1"/>
  <c r="AQ28" i="2"/>
  <c r="BA28" i="2" s="1"/>
  <c r="AQ28" i="7"/>
  <c r="BA28" i="7" s="1"/>
  <c r="AY28" i="1"/>
  <c r="AM28" i="14"/>
  <c r="AW28" i="14" s="1"/>
  <c r="AM28" i="13"/>
  <c r="AW28" i="13" s="1"/>
  <c r="AM28" i="11"/>
  <c r="AW28" i="11" s="1"/>
  <c r="AM28" i="10"/>
  <c r="AW28" i="10" s="1"/>
  <c r="AM28" i="9"/>
  <c r="AW28" i="9" s="1"/>
  <c r="AM28" i="12"/>
  <c r="AW28" i="12" s="1"/>
  <c r="AM28" i="8"/>
  <c r="AW28" i="8" s="1"/>
  <c r="AM28" i="6"/>
  <c r="AW28" i="6" s="1"/>
  <c r="AM28" i="2"/>
  <c r="AW28" i="2" s="1"/>
  <c r="AM28" i="5"/>
  <c r="AW28" i="5" s="1"/>
  <c r="AM28" i="7"/>
  <c r="AW28" i="7" s="1"/>
  <c r="AU28" i="1"/>
  <c r="AI28" i="13"/>
  <c r="AS28" i="13" s="1"/>
  <c r="AI28" i="14"/>
  <c r="AS28" i="14" s="1"/>
  <c r="AI28" i="11"/>
  <c r="AS28" i="11" s="1"/>
  <c r="AI28" i="10"/>
  <c r="AS28" i="10" s="1"/>
  <c r="AI28" i="9"/>
  <c r="AS28" i="9" s="1"/>
  <c r="AI28" i="8"/>
  <c r="AS28" i="8" s="1"/>
  <c r="AI28" i="12"/>
  <c r="AS28" i="12" s="1"/>
  <c r="AS28" i="6"/>
  <c r="AI28" i="7"/>
  <c r="AS28" i="7" s="1"/>
  <c r="AI28" i="2"/>
  <c r="AS28" i="2" s="1"/>
  <c r="AI28" i="5"/>
  <c r="AS28" i="5" s="1"/>
  <c r="BA27" i="1"/>
  <c r="AO27" i="14"/>
  <c r="AY27" i="14" s="1"/>
  <c r="AO27" i="13"/>
  <c r="AY27" i="13" s="1"/>
  <c r="AO27" i="12"/>
  <c r="AY27" i="12" s="1"/>
  <c r="AO27" i="10"/>
  <c r="AY27" i="10" s="1"/>
  <c r="AO27" i="11"/>
  <c r="AY27" i="11" s="1"/>
  <c r="AO27" i="9"/>
  <c r="AY27" i="9" s="1"/>
  <c r="AO27" i="8"/>
  <c r="AY27" i="8" s="1"/>
  <c r="AO27" i="6"/>
  <c r="AY27" i="6" s="1"/>
  <c r="AO27" i="5"/>
  <c r="AY27" i="5" s="1"/>
  <c r="AO27" i="7"/>
  <c r="AY27" i="7" s="1"/>
  <c r="AO27" i="2"/>
  <c r="AY27" i="2" s="1"/>
  <c r="AW27" i="1"/>
  <c r="AK27" i="14"/>
  <c r="AU27" i="14" s="1"/>
  <c r="AK27" i="13"/>
  <c r="AU27" i="13" s="1"/>
  <c r="AK27" i="12"/>
  <c r="AU27" i="12" s="1"/>
  <c r="AK27" i="10"/>
  <c r="AU27" i="10" s="1"/>
  <c r="AK27" i="11"/>
  <c r="AU27" i="11" s="1"/>
  <c r="AK27" i="9"/>
  <c r="AU27" i="9" s="1"/>
  <c r="AK27" i="8"/>
  <c r="AU27" i="8" s="1"/>
  <c r="AK27" i="6"/>
  <c r="AU27" i="6" s="1"/>
  <c r="AK27" i="5"/>
  <c r="AU27" i="5" s="1"/>
  <c r="AK27" i="7"/>
  <c r="AU27" i="7" s="1"/>
  <c r="AK27" i="2"/>
  <c r="AU27" i="2" s="1"/>
  <c r="BC26" i="1"/>
  <c r="AQ26" i="14"/>
  <c r="BA26" i="14" s="1"/>
  <c r="AQ26" i="13"/>
  <c r="BA26" i="13" s="1"/>
  <c r="AQ26" i="11"/>
  <c r="BA26" i="11" s="1"/>
  <c r="AQ26" i="12"/>
  <c r="BA26" i="12" s="1"/>
  <c r="AQ26" i="10"/>
  <c r="BA26" i="10" s="1"/>
  <c r="AQ26" i="9"/>
  <c r="BA26" i="9" s="1"/>
  <c r="AQ26" i="7"/>
  <c r="BA26" i="7" s="1"/>
  <c r="AQ26" i="5"/>
  <c r="BA26" i="5" s="1"/>
  <c r="AQ26" i="6"/>
  <c r="BA26" i="6" s="1"/>
  <c r="AQ26" i="2"/>
  <c r="BA26" i="2" s="1"/>
  <c r="AQ26" i="8"/>
  <c r="BA26" i="8" s="1"/>
  <c r="AY26" i="1"/>
  <c r="AM26" i="14"/>
  <c r="AW26" i="14" s="1"/>
  <c r="AM26" i="13"/>
  <c r="AW26" i="13" s="1"/>
  <c r="AM26" i="11"/>
  <c r="AW26" i="11" s="1"/>
  <c r="AM26" i="12"/>
  <c r="AW26" i="12" s="1"/>
  <c r="AM26" i="10"/>
  <c r="AW26" i="10" s="1"/>
  <c r="AM26" i="9"/>
  <c r="AW26" i="9" s="1"/>
  <c r="AM26" i="8"/>
  <c r="AW26" i="8" s="1"/>
  <c r="AM26" i="7"/>
  <c r="AW26" i="7" s="1"/>
  <c r="AM26" i="5"/>
  <c r="AW26" i="5" s="1"/>
  <c r="AM26" i="6"/>
  <c r="AW26" i="6" s="1"/>
  <c r="AM26" i="2"/>
  <c r="AW26" i="2" s="1"/>
  <c r="AU26" i="1"/>
  <c r="AI26" i="14"/>
  <c r="AS26" i="14" s="1"/>
  <c r="AI26" i="11"/>
  <c r="AS26" i="11" s="1"/>
  <c r="AI26" i="12"/>
  <c r="AS26" i="12" s="1"/>
  <c r="AI26" i="10"/>
  <c r="AS26" i="10" s="1"/>
  <c r="AI26" i="9"/>
  <c r="AS26" i="9" s="1"/>
  <c r="AI26" i="13"/>
  <c r="AS26" i="13" s="1"/>
  <c r="AI26" i="8"/>
  <c r="AS26" i="8" s="1"/>
  <c r="AI26" i="7"/>
  <c r="AS26" i="7" s="1"/>
  <c r="AI26" i="5"/>
  <c r="AS26" i="5" s="1"/>
  <c r="AS26" i="6"/>
  <c r="AI26" i="2"/>
  <c r="AS26" i="2" s="1"/>
  <c r="BA25" i="1"/>
  <c r="AO25" i="14"/>
  <c r="AY25" i="14" s="1"/>
  <c r="AO25" i="13"/>
  <c r="AY25" i="13" s="1"/>
  <c r="AO25" i="12"/>
  <c r="AY25" i="12" s="1"/>
  <c r="AO25" i="10"/>
  <c r="AY25" i="10" s="1"/>
  <c r="AO25" i="8"/>
  <c r="AY25" i="8" s="1"/>
  <c r="AO25" i="11"/>
  <c r="AY25" i="11" s="1"/>
  <c r="AO25" i="9"/>
  <c r="AY25" i="9" s="1"/>
  <c r="AO25" i="7"/>
  <c r="AY25" i="7" s="1"/>
  <c r="AO25" i="6"/>
  <c r="AY25" i="6" s="1"/>
  <c r="AO25" i="5"/>
  <c r="AY25" i="5" s="1"/>
  <c r="AO25" i="2"/>
  <c r="AY25" i="2" s="1"/>
  <c r="AW25" i="1"/>
  <c r="AK25" i="14"/>
  <c r="AU25" i="14" s="1"/>
  <c r="AK25" i="13"/>
  <c r="AU25" i="13" s="1"/>
  <c r="AK25" i="12"/>
  <c r="AU25" i="12" s="1"/>
  <c r="AK25" i="10"/>
  <c r="AU25" i="10" s="1"/>
  <c r="AK25" i="11"/>
  <c r="AU25" i="11" s="1"/>
  <c r="AK25" i="9"/>
  <c r="AU25" i="9" s="1"/>
  <c r="AK25" i="8"/>
  <c r="AU25" i="8" s="1"/>
  <c r="AK25" i="7"/>
  <c r="AU25" i="7" s="1"/>
  <c r="AK25" i="6"/>
  <c r="AU25" i="6" s="1"/>
  <c r="AK25" i="2"/>
  <c r="AU25" i="2" s="1"/>
  <c r="AK25" i="5"/>
  <c r="AU25" i="5" s="1"/>
  <c r="BC67" i="1"/>
  <c r="AQ67" i="14"/>
  <c r="BA67" i="14" s="1"/>
  <c r="AQ67" i="13"/>
  <c r="BA67" i="13" s="1"/>
  <c r="AQ67" i="12"/>
  <c r="BA67" i="12" s="1"/>
  <c r="AQ67" i="10"/>
  <c r="BA67" i="10" s="1"/>
  <c r="AQ67" i="9"/>
  <c r="BA67" i="9" s="1"/>
  <c r="AQ67" i="11"/>
  <c r="BA67" i="11" s="1"/>
  <c r="AQ67" i="8"/>
  <c r="BA67" i="8" s="1"/>
  <c r="AQ67" i="7"/>
  <c r="BA67" i="7" s="1"/>
  <c r="AQ67" i="5"/>
  <c r="BA67" i="5" s="1"/>
  <c r="AQ67" i="6"/>
  <c r="BA67" i="6" s="1"/>
  <c r="AQ67" i="2"/>
  <c r="BA67" i="2" s="1"/>
  <c r="AY67" i="1"/>
  <c r="AM67" i="13"/>
  <c r="AW67" i="13" s="1"/>
  <c r="AM67" i="12"/>
  <c r="AW67" i="12" s="1"/>
  <c r="AM67" i="14"/>
  <c r="AW67" i="14" s="1"/>
  <c r="AM67" i="11"/>
  <c r="AW67" i="11" s="1"/>
  <c r="AM67" i="10"/>
  <c r="AW67" i="10" s="1"/>
  <c r="AM67" i="9"/>
  <c r="AW67" i="9" s="1"/>
  <c r="AM67" i="8"/>
  <c r="AW67" i="8" s="1"/>
  <c r="AM67" i="7"/>
  <c r="AW67" i="7" s="1"/>
  <c r="AM67" i="5"/>
  <c r="AW67" i="5" s="1"/>
  <c r="AM67" i="2"/>
  <c r="AW67" i="2" s="1"/>
  <c r="AM67" i="6"/>
  <c r="AW67" i="6" s="1"/>
  <c r="AU67" i="1"/>
  <c r="AI67" i="14"/>
  <c r="AS67" i="14" s="1"/>
  <c r="AI67" i="13"/>
  <c r="AS67" i="13" s="1"/>
  <c r="AI67" i="12"/>
  <c r="AS67" i="12" s="1"/>
  <c r="AI67" i="11"/>
  <c r="AS67" i="11" s="1"/>
  <c r="AI67" i="10"/>
  <c r="AS67" i="10" s="1"/>
  <c r="AI67" i="9"/>
  <c r="AS67" i="9" s="1"/>
  <c r="AI67" i="8"/>
  <c r="AS67" i="8" s="1"/>
  <c r="AI67" i="7"/>
  <c r="AS67" i="7" s="1"/>
  <c r="AI67" i="5"/>
  <c r="AS67" i="5" s="1"/>
  <c r="AI67" i="2"/>
  <c r="AS67" i="2" s="1"/>
  <c r="AS67" i="6"/>
  <c r="BA66" i="1"/>
  <c r="AO66" i="14"/>
  <c r="AY66" i="14" s="1"/>
  <c r="AO66" i="13"/>
  <c r="AY66" i="13" s="1"/>
  <c r="AO66" i="12"/>
  <c r="AY66" i="12" s="1"/>
  <c r="AO66" i="11"/>
  <c r="AY66" i="11" s="1"/>
  <c r="AO66" i="10"/>
  <c r="AY66" i="10" s="1"/>
  <c r="AO66" i="9"/>
  <c r="AY66" i="9" s="1"/>
  <c r="AO66" i="7"/>
  <c r="AY66" i="7" s="1"/>
  <c r="AO66" i="8"/>
  <c r="AY66" i="8" s="1"/>
  <c r="AO66" i="6"/>
  <c r="AY66" i="6" s="1"/>
  <c r="AO66" i="5"/>
  <c r="AY66" i="5" s="1"/>
  <c r="AO66" i="2"/>
  <c r="AY66" i="2" s="1"/>
  <c r="AW66" i="1"/>
  <c r="AK66" i="14"/>
  <c r="AU66" i="14" s="1"/>
  <c r="AK66" i="13"/>
  <c r="AU66" i="13" s="1"/>
  <c r="AK66" i="12"/>
  <c r="AU66" i="12" s="1"/>
  <c r="AK66" i="11"/>
  <c r="AU66" i="11" s="1"/>
  <c r="AK66" i="10"/>
  <c r="AU66" i="10" s="1"/>
  <c r="AK66" i="7"/>
  <c r="AU66" i="7" s="1"/>
  <c r="AK66" i="9"/>
  <c r="AU66" i="9" s="1"/>
  <c r="AK66" i="8"/>
  <c r="AU66" i="8" s="1"/>
  <c r="AK66" i="6"/>
  <c r="AU66" i="6" s="1"/>
  <c r="AK66" i="5"/>
  <c r="AU66" i="5" s="1"/>
  <c r="AK66" i="2"/>
  <c r="AU66" i="2" s="1"/>
  <c r="BC65" i="1"/>
  <c r="AQ65" i="14"/>
  <c r="BA65" i="14" s="1"/>
  <c r="AQ65" i="13"/>
  <c r="BA65" i="13" s="1"/>
  <c r="AQ65" i="12"/>
  <c r="BA65" i="12" s="1"/>
  <c r="AQ65" i="11"/>
  <c r="BA65" i="11" s="1"/>
  <c r="AQ65" i="10"/>
  <c r="BA65" i="10" s="1"/>
  <c r="AQ65" i="9"/>
  <c r="BA65" i="9" s="1"/>
  <c r="AQ65" i="8"/>
  <c r="BA65" i="8" s="1"/>
  <c r="AQ65" i="7"/>
  <c r="BA65" i="7" s="1"/>
  <c r="AQ65" i="6"/>
  <c r="BA65" i="6" s="1"/>
  <c r="AQ65" i="5"/>
  <c r="BA65" i="5" s="1"/>
  <c r="AQ65" i="2"/>
  <c r="BA65" i="2" s="1"/>
  <c r="AY65" i="1"/>
  <c r="AM65" i="14"/>
  <c r="AW65" i="14" s="1"/>
  <c r="AM65" i="13"/>
  <c r="AW65" i="13" s="1"/>
  <c r="AM65" i="12"/>
  <c r="AW65" i="12" s="1"/>
  <c r="AM65" i="11"/>
  <c r="AW65" i="11" s="1"/>
  <c r="AM65" i="10"/>
  <c r="AW65" i="10" s="1"/>
  <c r="AM65" i="9"/>
  <c r="AW65" i="9" s="1"/>
  <c r="AM65" i="8"/>
  <c r="AW65" i="8" s="1"/>
  <c r="AM65" i="7"/>
  <c r="AW65" i="7" s="1"/>
  <c r="AM65" i="6"/>
  <c r="AW65" i="6" s="1"/>
  <c r="AM65" i="5"/>
  <c r="AW65" i="5" s="1"/>
  <c r="AM65" i="2"/>
  <c r="AW65" i="2" s="1"/>
  <c r="AU65" i="1"/>
  <c r="AI65" i="14"/>
  <c r="AS65" i="14" s="1"/>
  <c r="AI65" i="13"/>
  <c r="AS65" i="13" s="1"/>
  <c r="AI65" i="12"/>
  <c r="AS65" i="12" s="1"/>
  <c r="AI65" i="11"/>
  <c r="AS65" i="11" s="1"/>
  <c r="AI65" i="10"/>
  <c r="AS65" i="10" s="1"/>
  <c r="AI65" i="9"/>
  <c r="AS65" i="9" s="1"/>
  <c r="AI65" i="8"/>
  <c r="AS65" i="8" s="1"/>
  <c r="AI65" i="7"/>
  <c r="AS65" i="7" s="1"/>
  <c r="AI65" i="2"/>
  <c r="AS65" i="2" s="1"/>
  <c r="AS65" i="6"/>
  <c r="AI65" i="5"/>
  <c r="AS65" i="5" s="1"/>
  <c r="BA64" i="1"/>
  <c r="AO64" i="14"/>
  <c r="AY64" i="14" s="1"/>
  <c r="AO64" i="13"/>
  <c r="AY64" i="13" s="1"/>
  <c r="AO64" i="12"/>
  <c r="AY64" i="12" s="1"/>
  <c r="AO64" i="11"/>
  <c r="AY64" i="11" s="1"/>
  <c r="AO64" i="10"/>
  <c r="AY64" i="10" s="1"/>
  <c r="AO64" i="7"/>
  <c r="AY64" i="7" s="1"/>
  <c r="AO64" i="9"/>
  <c r="AY64" i="9" s="1"/>
  <c r="AO64" i="8"/>
  <c r="AY64" i="8" s="1"/>
  <c r="AO64" i="2"/>
  <c r="AY64" i="2" s="1"/>
  <c r="AO64" i="5"/>
  <c r="AY64" i="5" s="1"/>
  <c r="AO64" i="6"/>
  <c r="AY64" i="6" s="1"/>
  <c r="AW64" i="1"/>
  <c r="AK64" i="14"/>
  <c r="AU64" i="14" s="1"/>
  <c r="AK64" i="13"/>
  <c r="AU64" i="13" s="1"/>
  <c r="AK64" i="12"/>
  <c r="AU64" i="12" s="1"/>
  <c r="AK64" i="11"/>
  <c r="AU64" i="11" s="1"/>
  <c r="AK64" i="10"/>
  <c r="AU64" i="10" s="1"/>
  <c r="AK64" i="9"/>
  <c r="AU64" i="9" s="1"/>
  <c r="AK64" i="7"/>
  <c r="AU64" i="7" s="1"/>
  <c r="AK64" i="8"/>
  <c r="AU64" i="8" s="1"/>
  <c r="AK64" i="2"/>
  <c r="AU64" i="2" s="1"/>
  <c r="AK64" i="5"/>
  <c r="AU64" i="5" s="1"/>
  <c r="AK64" i="6"/>
  <c r="AU64" i="6" s="1"/>
  <c r="BC63" i="1"/>
  <c r="AQ63" i="14"/>
  <c r="BA63" i="14" s="1"/>
  <c r="AQ63" i="13"/>
  <c r="BA63" i="13" s="1"/>
  <c r="AQ63" i="12"/>
  <c r="BA63" i="12" s="1"/>
  <c r="AQ63" i="11"/>
  <c r="BA63" i="11" s="1"/>
  <c r="AQ63" i="10"/>
  <c r="BA63" i="10" s="1"/>
  <c r="AQ63" i="9"/>
  <c r="BA63" i="9" s="1"/>
  <c r="AQ63" i="8"/>
  <c r="BA63" i="8" s="1"/>
  <c r="AQ63" i="7"/>
  <c r="BA63" i="7" s="1"/>
  <c r="AQ63" i="2"/>
  <c r="BA63" i="2" s="1"/>
  <c r="AQ63" i="5"/>
  <c r="BA63" i="5" s="1"/>
  <c r="AQ63" i="6"/>
  <c r="BA63" i="6" s="1"/>
  <c r="AY63" i="1"/>
  <c r="AM63" i="14"/>
  <c r="AW63" i="14" s="1"/>
  <c r="AM63" i="13"/>
  <c r="AW63" i="13" s="1"/>
  <c r="AM63" i="12"/>
  <c r="AW63" i="12" s="1"/>
  <c r="AM63" i="10"/>
  <c r="AW63" i="10" s="1"/>
  <c r="AM63" i="11"/>
  <c r="AW63" i="11" s="1"/>
  <c r="AM63" i="9"/>
  <c r="AW63" i="9" s="1"/>
  <c r="AM63" i="8"/>
  <c r="AW63" i="8" s="1"/>
  <c r="AM63" i="7"/>
  <c r="AW63" i="7" s="1"/>
  <c r="AM63" i="2"/>
  <c r="AW63" i="2" s="1"/>
  <c r="AM63" i="5"/>
  <c r="AW63" i="5" s="1"/>
  <c r="AM63" i="6"/>
  <c r="AW63" i="6" s="1"/>
  <c r="AU63" i="1"/>
  <c r="AI63" i="14"/>
  <c r="AS63" i="14" s="1"/>
  <c r="AI63" i="13"/>
  <c r="AS63" i="13" s="1"/>
  <c r="AI63" i="12"/>
  <c r="AS63" i="12" s="1"/>
  <c r="AI63" i="11"/>
  <c r="AS63" i="11" s="1"/>
  <c r="AI63" i="10"/>
  <c r="AS63" i="10" s="1"/>
  <c r="AI63" i="9"/>
  <c r="AS63" i="9" s="1"/>
  <c r="AI63" i="8"/>
  <c r="AS63" i="8" s="1"/>
  <c r="AI63" i="7"/>
  <c r="AS63" i="7" s="1"/>
  <c r="AI63" i="2"/>
  <c r="AS63" i="2" s="1"/>
  <c r="AI63" i="5"/>
  <c r="AS63" i="5" s="1"/>
  <c r="AS63" i="6"/>
  <c r="BA62" i="1"/>
  <c r="AO62" i="14"/>
  <c r="AY62" i="14" s="1"/>
  <c r="AO62" i="13"/>
  <c r="AY62" i="13" s="1"/>
  <c r="AO62" i="12"/>
  <c r="AY62" i="12" s="1"/>
  <c r="AO62" i="11"/>
  <c r="AY62" i="11" s="1"/>
  <c r="AO62" i="10"/>
  <c r="AY62" i="10" s="1"/>
  <c r="AO62" i="9"/>
  <c r="AY62" i="9" s="1"/>
  <c r="AO62" i="7"/>
  <c r="AY62" i="7" s="1"/>
  <c r="AO62" i="8"/>
  <c r="AY62" i="8" s="1"/>
  <c r="AO62" i="6"/>
  <c r="AY62" i="6" s="1"/>
  <c r="AO62" i="5"/>
  <c r="AY62" i="5" s="1"/>
  <c r="AO62" i="2"/>
  <c r="AY62" i="2" s="1"/>
  <c r="AW62" i="1"/>
  <c r="AK62" i="14"/>
  <c r="AU62" i="14" s="1"/>
  <c r="AK62" i="13"/>
  <c r="AU62" i="13" s="1"/>
  <c r="AK62" i="12"/>
  <c r="AU62" i="12" s="1"/>
  <c r="AK62" i="11"/>
  <c r="AU62" i="11" s="1"/>
  <c r="AK62" i="10"/>
  <c r="AU62" i="10" s="1"/>
  <c r="AK62" i="7"/>
  <c r="AU62" i="7" s="1"/>
  <c r="AK62" i="9"/>
  <c r="AU62" i="9" s="1"/>
  <c r="AK62" i="8"/>
  <c r="AU62" i="8" s="1"/>
  <c r="AK62" i="6"/>
  <c r="AU62" i="6" s="1"/>
  <c r="AK62" i="5"/>
  <c r="AU62" i="5" s="1"/>
  <c r="AK62" i="2"/>
  <c r="AU62" i="2" s="1"/>
  <c r="BC61" i="1"/>
  <c r="AQ61" i="14"/>
  <c r="BA61" i="14" s="1"/>
  <c r="AQ61" i="13"/>
  <c r="BA61" i="13" s="1"/>
  <c r="AQ61" i="12"/>
  <c r="BA61" i="12" s="1"/>
  <c r="AQ61" i="11"/>
  <c r="BA61" i="11" s="1"/>
  <c r="AQ61" i="10"/>
  <c r="BA61" i="10" s="1"/>
  <c r="AQ61" i="9"/>
  <c r="BA61" i="9" s="1"/>
  <c r="AQ61" i="8"/>
  <c r="BA61" i="8" s="1"/>
  <c r="AQ61" i="7"/>
  <c r="BA61" i="7" s="1"/>
  <c r="AQ61" i="2"/>
  <c r="BA61" i="2" s="1"/>
  <c r="AQ61" i="5"/>
  <c r="BA61" i="5" s="1"/>
  <c r="AQ61" i="6"/>
  <c r="BA61" i="6" s="1"/>
  <c r="AY61" i="1"/>
  <c r="AM61" i="14"/>
  <c r="AW61" i="14" s="1"/>
  <c r="AM61" i="13"/>
  <c r="AW61" i="13" s="1"/>
  <c r="AM61" i="12"/>
  <c r="AW61" i="12" s="1"/>
  <c r="AM61" i="11"/>
  <c r="AW61" i="11" s="1"/>
  <c r="AM61" i="10"/>
  <c r="AW61" i="10" s="1"/>
  <c r="AM61" i="9"/>
  <c r="AW61" i="9" s="1"/>
  <c r="AM61" i="8"/>
  <c r="AW61" i="8" s="1"/>
  <c r="AM61" i="7"/>
  <c r="AW61" i="7" s="1"/>
  <c r="AM61" i="2"/>
  <c r="AW61" i="2" s="1"/>
  <c r="AM61" i="6"/>
  <c r="AW61" i="6" s="1"/>
  <c r="AM61" i="5"/>
  <c r="AW61" i="5" s="1"/>
  <c r="AU61" i="1"/>
  <c r="AI61" i="14"/>
  <c r="AS61" i="14" s="1"/>
  <c r="AI61" i="13"/>
  <c r="AS61" i="13" s="1"/>
  <c r="AI61" i="12"/>
  <c r="AS61" i="12" s="1"/>
  <c r="AI61" i="11"/>
  <c r="AS61" i="11" s="1"/>
  <c r="AI61" i="10"/>
  <c r="AS61" i="10" s="1"/>
  <c r="AI61" i="9"/>
  <c r="AS61" i="9" s="1"/>
  <c r="AI61" i="8"/>
  <c r="AS61" i="8" s="1"/>
  <c r="AI61" i="7"/>
  <c r="AS61" i="7" s="1"/>
  <c r="AI61" i="2"/>
  <c r="AS61" i="2" s="1"/>
  <c r="AS61" i="6"/>
  <c r="AI61" i="5"/>
  <c r="AS61" i="5" s="1"/>
  <c r="BA60" i="1"/>
  <c r="AO60" i="14"/>
  <c r="AY60" i="14" s="1"/>
  <c r="AO60" i="13"/>
  <c r="AY60" i="13" s="1"/>
  <c r="AO60" i="12"/>
  <c r="AY60" i="12" s="1"/>
  <c r="AO60" i="11"/>
  <c r="AY60" i="11" s="1"/>
  <c r="AO60" i="10"/>
  <c r="AY60" i="10" s="1"/>
  <c r="AO60" i="9"/>
  <c r="AY60" i="9" s="1"/>
  <c r="AO60" i="7"/>
  <c r="AY60" i="7" s="1"/>
  <c r="AO60" i="8"/>
  <c r="AY60" i="8" s="1"/>
  <c r="AO60" i="6"/>
  <c r="AY60" i="6" s="1"/>
  <c r="AO60" i="2"/>
  <c r="AY60" i="2" s="1"/>
  <c r="AO60" i="5"/>
  <c r="AY60" i="5" s="1"/>
  <c r="AW60" i="1"/>
  <c r="AK60" i="14"/>
  <c r="AU60" i="14" s="1"/>
  <c r="AK60" i="13"/>
  <c r="AU60" i="13" s="1"/>
  <c r="AK60" i="12"/>
  <c r="AU60" i="12" s="1"/>
  <c r="AK60" i="11"/>
  <c r="AU60" i="11" s="1"/>
  <c r="AK60" i="10"/>
  <c r="AU60" i="10" s="1"/>
  <c r="AK60" i="9"/>
  <c r="AU60" i="9" s="1"/>
  <c r="AK60" i="7"/>
  <c r="AU60" i="7" s="1"/>
  <c r="AK60" i="8"/>
  <c r="AU60" i="8" s="1"/>
  <c r="AK60" i="6"/>
  <c r="AU60" i="6" s="1"/>
  <c r="AK60" i="2"/>
  <c r="AU60" i="2" s="1"/>
  <c r="AK60" i="5"/>
  <c r="AU60" i="5" s="1"/>
  <c r="BC59" i="1"/>
  <c r="AQ59" i="14"/>
  <c r="BA59" i="14" s="1"/>
  <c r="AQ59" i="13"/>
  <c r="BA59" i="13" s="1"/>
  <c r="AQ59" i="11"/>
  <c r="BA59" i="11" s="1"/>
  <c r="AQ59" i="10"/>
  <c r="BA59" i="10" s="1"/>
  <c r="AQ59" i="12"/>
  <c r="BA59" i="12" s="1"/>
  <c r="AQ59" i="8"/>
  <c r="BA59" i="8" s="1"/>
  <c r="AQ59" i="7"/>
  <c r="BA59" i="7" s="1"/>
  <c r="AQ59" i="2"/>
  <c r="BA59" i="2" s="1"/>
  <c r="AQ59" i="9"/>
  <c r="BA59" i="9" s="1"/>
  <c r="AQ59" i="6"/>
  <c r="BA59" i="6" s="1"/>
  <c r="AQ59" i="5"/>
  <c r="BA59" i="5" s="1"/>
  <c r="AY59" i="1"/>
  <c r="AM59" i="14"/>
  <c r="AW59" i="14" s="1"/>
  <c r="AM59" i="13"/>
  <c r="AW59" i="13" s="1"/>
  <c r="AM59" i="12"/>
  <c r="AW59" i="12" s="1"/>
  <c r="AM59" i="11"/>
  <c r="AW59" i="11" s="1"/>
  <c r="AM59" i="10"/>
  <c r="AW59" i="10" s="1"/>
  <c r="AM59" i="9"/>
  <c r="AW59" i="9" s="1"/>
  <c r="AM59" i="8"/>
  <c r="AW59" i="8" s="1"/>
  <c r="AM59" i="7"/>
  <c r="AW59" i="7" s="1"/>
  <c r="AM59" i="2"/>
  <c r="AW59" i="2" s="1"/>
  <c r="AM59" i="5"/>
  <c r="AW59" i="5" s="1"/>
  <c r="AM59" i="6"/>
  <c r="AW59" i="6" s="1"/>
  <c r="AU59" i="1"/>
  <c r="AI59" i="14"/>
  <c r="AS59" i="14" s="1"/>
  <c r="AI59" i="13"/>
  <c r="AS59" i="13" s="1"/>
  <c r="AI59" i="11"/>
  <c r="AS59" i="11" s="1"/>
  <c r="AI59" i="10"/>
  <c r="AS59" i="10" s="1"/>
  <c r="AI59" i="12"/>
  <c r="AS59" i="12" s="1"/>
  <c r="AI59" i="8"/>
  <c r="AS59" i="8" s="1"/>
  <c r="AI59" i="7"/>
  <c r="AS59" i="7" s="1"/>
  <c r="AI59" i="9"/>
  <c r="AS59" i="9" s="1"/>
  <c r="AI59" i="2"/>
  <c r="AS59" i="2" s="1"/>
  <c r="AS59" i="6"/>
  <c r="AI59" i="5"/>
  <c r="AS59" i="5" s="1"/>
  <c r="BA58" i="1"/>
  <c r="AO58" i="14"/>
  <c r="AY58" i="14" s="1"/>
  <c r="AO58" i="13"/>
  <c r="AY58" i="13" s="1"/>
  <c r="AO58" i="12"/>
  <c r="AY58" i="12" s="1"/>
  <c r="AO58" i="10"/>
  <c r="AY58" i="10" s="1"/>
  <c r="AO58" i="11"/>
  <c r="AY58" i="11" s="1"/>
  <c r="AO58" i="7"/>
  <c r="AY58" i="7" s="1"/>
  <c r="AO58" i="8"/>
  <c r="AY58" i="8" s="1"/>
  <c r="AO58" i="2"/>
  <c r="AY58" i="2" s="1"/>
  <c r="AO58" i="9"/>
  <c r="AY58" i="9" s="1"/>
  <c r="AO58" i="6"/>
  <c r="AY58" i="6" s="1"/>
  <c r="AO58" i="5"/>
  <c r="AY58" i="5" s="1"/>
  <c r="AW58" i="1"/>
  <c r="AK58" i="14"/>
  <c r="AU58" i="14" s="1"/>
  <c r="AK58" i="13"/>
  <c r="AU58" i="13" s="1"/>
  <c r="AK58" i="12"/>
  <c r="AU58" i="12" s="1"/>
  <c r="AK58" i="10"/>
  <c r="AU58" i="10" s="1"/>
  <c r="AK58" i="11"/>
  <c r="AU58" i="11" s="1"/>
  <c r="AK58" i="7"/>
  <c r="AU58" i="7" s="1"/>
  <c r="AK58" i="9"/>
  <c r="AU58" i="9" s="1"/>
  <c r="AK58" i="8"/>
  <c r="AU58" i="8" s="1"/>
  <c r="AK58" i="2"/>
  <c r="AU58" i="2" s="1"/>
  <c r="AK58" i="6"/>
  <c r="AU58" i="6" s="1"/>
  <c r="AK58" i="5"/>
  <c r="AU58" i="5" s="1"/>
  <c r="BC20" i="1"/>
  <c r="AQ20" i="14"/>
  <c r="BA20" i="14" s="1"/>
  <c r="AQ20" i="13"/>
  <c r="BA20" i="13" s="1"/>
  <c r="AQ20" i="12"/>
  <c r="BA20" i="12" s="1"/>
  <c r="AQ20" i="11"/>
  <c r="BA20" i="11" s="1"/>
  <c r="AQ20" i="10"/>
  <c r="BA20" i="10" s="1"/>
  <c r="AQ20" i="9"/>
  <c r="BA20" i="9" s="1"/>
  <c r="AQ20" i="8"/>
  <c r="BA20" i="8" s="1"/>
  <c r="AQ20" i="7"/>
  <c r="BA20" i="7" s="1"/>
  <c r="AQ20" i="6"/>
  <c r="BA20" i="6" s="1"/>
  <c r="AQ20" i="2"/>
  <c r="BA20" i="2" s="1"/>
  <c r="AQ20" i="5"/>
  <c r="BA20" i="5" s="1"/>
  <c r="AY20" i="1"/>
  <c r="AM20" i="14"/>
  <c r="AW20" i="14" s="1"/>
  <c r="AM20" i="13"/>
  <c r="AW20" i="13" s="1"/>
  <c r="AM20" i="12"/>
  <c r="AW20" i="12" s="1"/>
  <c r="AM20" i="10"/>
  <c r="AW20" i="10" s="1"/>
  <c r="AM20" i="9"/>
  <c r="AW20" i="9" s="1"/>
  <c r="AM20" i="11"/>
  <c r="AW20" i="11" s="1"/>
  <c r="AM20" i="8"/>
  <c r="AW20" i="8" s="1"/>
  <c r="AM20" i="7"/>
  <c r="AW20" i="7" s="1"/>
  <c r="AM20" i="6"/>
  <c r="AW20" i="6" s="1"/>
  <c r="AM20" i="2"/>
  <c r="AW20" i="2" s="1"/>
  <c r="AM20" i="5"/>
  <c r="AW20" i="5" s="1"/>
  <c r="AU20" i="1"/>
  <c r="AI20" i="14"/>
  <c r="AS20" i="14" s="1"/>
  <c r="AI20" i="13"/>
  <c r="AS20" i="13" s="1"/>
  <c r="AI20" i="12"/>
  <c r="AS20" i="12" s="1"/>
  <c r="AI20" i="11"/>
  <c r="AS20" i="11" s="1"/>
  <c r="AI20" i="10"/>
  <c r="AS20" i="10" s="1"/>
  <c r="AI20" i="9"/>
  <c r="AS20" i="9" s="1"/>
  <c r="AI20" i="8"/>
  <c r="AS20" i="8" s="1"/>
  <c r="AI20" i="7"/>
  <c r="AS20" i="7" s="1"/>
  <c r="AS20" i="6"/>
  <c r="AI20" i="2"/>
  <c r="AS20" i="2" s="1"/>
  <c r="AI20" i="5"/>
  <c r="AS20" i="5" s="1"/>
  <c r="BA19" i="1"/>
  <c r="AO19" i="14"/>
  <c r="AY19" i="14" s="1"/>
  <c r="AO19" i="13"/>
  <c r="AY19" i="13" s="1"/>
  <c r="AO19" i="11"/>
  <c r="AY19" i="11" s="1"/>
  <c r="AO19" i="12"/>
  <c r="AY19" i="12" s="1"/>
  <c r="AO19" i="10"/>
  <c r="AY19" i="10" s="1"/>
  <c r="AO19" i="9"/>
  <c r="AY19" i="9" s="1"/>
  <c r="AO19" i="8"/>
  <c r="AY19" i="8" s="1"/>
  <c r="AO19" i="6"/>
  <c r="AY19" i="6" s="1"/>
  <c r="AO19" i="5"/>
  <c r="AY19" i="5" s="1"/>
  <c r="AO19" i="7"/>
  <c r="AY19" i="7" s="1"/>
  <c r="AO19" i="2"/>
  <c r="AY19" i="2" s="1"/>
  <c r="AW19" i="1"/>
  <c r="AK19" i="14"/>
  <c r="AU19" i="14" s="1"/>
  <c r="AK19" i="11"/>
  <c r="AU19" i="11" s="1"/>
  <c r="AK19" i="12"/>
  <c r="AU19" i="12" s="1"/>
  <c r="AK19" i="13"/>
  <c r="AU19" i="13" s="1"/>
  <c r="AK19" i="10"/>
  <c r="AU19" i="10" s="1"/>
  <c r="AK19" i="9"/>
  <c r="AU19" i="9" s="1"/>
  <c r="AK19" i="8"/>
  <c r="AU19" i="8" s="1"/>
  <c r="AK19" i="6"/>
  <c r="AU19" i="6" s="1"/>
  <c r="AK19" i="5"/>
  <c r="AU19" i="5" s="1"/>
  <c r="AK19" i="7"/>
  <c r="AU19" i="7" s="1"/>
  <c r="AK19" i="2"/>
  <c r="AU19" i="2" s="1"/>
  <c r="BC18" i="1"/>
  <c r="AQ18" i="14"/>
  <c r="BA18" i="14" s="1"/>
  <c r="AQ18" i="13"/>
  <c r="BA18" i="13" s="1"/>
  <c r="AQ18" i="12"/>
  <c r="BA18" i="12" s="1"/>
  <c r="AQ18" i="11"/>
  <c r="BA18" i="11" s="1"/>
  <c r="AQ18" i="10"/>
  <c r="BA18" i="10" s="1"/>
  <c r="AQ18" i="9"/>
  <c r="BA18" i="9" s="1"/>
  <c r="AQ18" i="8"/>
  <c r="BA18" i="8" s="1"/>
  <c r="AQ18" i="5"/>
  <c r="BA18" i="5" s="1"/>
  <c r="AQ18" i="7"/>
  <c r="BA18" i="7" s="1"/>
  <c r="AQ18" i="6"/>
  <c r="BA18" i="6" s="1"/>
  <c r="AQ18" i="2"/>
  <c r="BA18" i="2" s="1"/>
  <c r="AY18" i="1"/>
  <c r="AM18" i="14"/>
  <c r="AW18" i="14" s="1"/>
  <c r="AM18" i="13"/>
  <c r="AW18" i="13" s="1"/>
  <c r="AM18" i="12"/>
  <c r="AW18" i="12" s="1"/>
  <c r="AM18" i="11"/>
  <c r="AW18" i="11" s="1"/>
  <c r="AM18" i="10"/>
  <c r="AW18" i="10" s="1"/>
  <c r="AM18" i="9"/>
  <c r="AW18" i="9" s="1"/>
  <c r="AM18" i="5"/>
  <c r="AW18" i="5" s="1"/>
  <c r="AM18" i="8"/>
  <c r="AW18" i="8" s="1"/>
  <c r="AM18" i="7"/>
  <c r="AW18" i="7" s="1"/>
  <c r="AM18" i="6"/>
  <c r="AW18" i="6" s="1"/>
  <c r="AM18" i="2"/>
  <c r="AW18" i="2" s="1"/>
  <c r="AU18" i="1"/>
  <c r="AI18" i="14"/>
  <c r="AS18" i="14" s="1"/>
  <c r="AI18" i="13"/>
  <c r="AS18" i="13" s="1"/>
  <c r="AI18" i="12"/>
  <c r="AS18" i="12" s="1"/>
  <c r="AI18" i="11"/>
  <c r="AS18" i="11" s="1"/>
  <c r="AI18" i="10"/>
  <c r="AS18" i="10" s="1"/>
  <c r="AI18" i="9"/>
  <c r="AS18" i="9" s="1"/>
  <c r="AI18" i="5"/>
  <c r="AS18" i="5" s="1"/>
  <c r="AI18" i="7"/>
  <c r="AS18" i="7" s="1"/>
  <c r="AS18" i="6"/>
  <c r="AI18" i="2"/>
  <c r="AS18" i="2" s="1"/>
  <c r="AI18" i="8"/>
  <c r="AS18" i="8" s="1"/>
  <c r="BB85" i="1"/>
  <c r="AP85" i="14"/>
  <c r="AZ85" i="14" s="1"/>
  <c r="AP85" i="13"/>
  <c r="AZ85" i="13" s="1"/>
  <c r="AP85" i="12"/>
  <c r="AZ85" i="12" s="1"/>
  <c r="AP85" i="10"/>
  <c r="AZ85" i="10" s="1"/>
  <c r="AP85" i="11"/>
  <c r="AZ85" i="11" s="1"/>
  <c r="AZ85" i="7"/>
  <c r="AP85" i="5"/>
  <c r="AZ85" i="5" s="1"/>
  <c r="AP85" i="8"/>
  <c r="AZ85" i="8" s="1"/>
  <c r="AP85" i="6"/>
  <c r="AZ85" i="6" s="1"/>
  <c r="AP85" i="9"/>
  <c r="AZ85" i="9" s="1"/>
  <c r="AP85" i="2"/>
  <c r="AZ85" i="2" s="1"/>
  <c r="AX85" i="1"/>
  <c r="AL85" i="14"/>
  <c r="AV85" i="14" s="1"/>
  <c r="AL85" i="13"/>
  <c r="AV85" i="13" s="1"/>
  <c r="AL85" i="12"/>
  <c r="AV85" i="12" s="1"/>
  <c r="AL85" i="10"/>
  <c r="AV85" i="10" s="1"/>
  <c r="AL85" i="11"/>
  <c r="AV85" i="11" s="1"/>
  <c r="AL85" i="9"/>
  <c r="AV85" i="9" s="1"/>
  <c r="AL85" i="5"/>
  <c r="AV85" i="5" s="1"/>
  <c r="AV85" i="7"/>
  <c r="AL85" i="6"/>
  <c r="AV85" i="6" s="1"/>
  <c r="AL85" i="8"/>
  <c r="AV85" i="8" s="1"/>
  <c r="AL85" i="2"/>
  <c r="AV85" i="2" s="1"/>
  <c r="AT85" i="1"/>
  <c r="AH85" i="14"/>
  <c r="AR85" i="14" s="1"/>
  <c r="AH85" i="13"/>
  <c r="AR85" i="13" s="1"/>
  <c r="AH85" i="12"/>
  <c r="AR85" i="12" s="1"/>
  <c r="AH85" i="10"/>
  <c r="AR85" i="10" s="1"/>
  <c r="AH85" i="5"/>
  <c r="AR85" i="5" s="1"/>
  <c r="AR85" i="6"/>
  <c r="AH85" i="11"/>
  <c r="AR85" i="11" s="1"/>
  <c r="AH85" i="2"/>
  <c r="AR85" i="2" s="1"/>
  <c r="AH85" i="9"/>
  <c r="AR85" i="9" s="1"/>
  <c r="AH85" i="8"/>
  <c r="AR85" i="8" s="1"/>
  <c r="AZ84" i="1"/>
  <c r="AN84" i="14"/>
  <c r="AX84" i="14" s="1"/>
  <c r="AN84" i="13"/>
  <c r="AX84" i="13" s="1"/>
  <c r="AN84" i="12"/>
  <c r="AX84" i="12" s="1"/>
  <c r="AN84" i="10"/>
  <c r="AX84" i="10" s="1"/>
  <c r="AN84" i="11"/>
  <c r="AX84" i="11" s="1"/>
  <c r="AX84" i="7"/>
  <c r="AN84" i="9"/>
  <c r="AX84" i="9" s="1"/>
  <c r="AN84" i="8"/>
  <c r="AX84" i="8" s="1"/>
  <c r="AN84" i="6"/>
  <c r="AX84" i="6" s="1"/>
  <c r="AN84" i="2"/>
  <c r="AX84" i="2" s="1"/>
  <c r="AN84" i="5"/>
  <c r="AX84" i="5" s="1"/>
  <c r="AV84" i="1"/>
  <c r="AJ84" i="14"/>
  <c r="AT84" i="14" s="1"/>
  <c r="AJ84" i="13"/>
  <c r="AT84" i="13" s="1"/>
  <c r="AJ84" i="10"/>
  <c r="AT84" i="10" s="1"/>
  <c r="AJ84" i="12"/>
  <c r="AT84" i="12" s="1"/>
  <c r="AJ84" i="11"/>
  <c r="AT84" i="11" s="1"/>
  <c r="AJ84" i="9"/>
  <c r="AT84" i="9" s="1"/>
  <c r="AJ84" i="6"/>
  <c r="AT84" i="6" s="1"/>
  <c r="AJ84" i="8"/>
  <c r="AT84" i="8" s="1"/>
  <c r="AJ84" i="2"/>
  <c r="AT84" i="2" s="1"/>
  <c r="AJ84" i="5"/>
  <c r="AT84" i="5" s="1"/>
  <c r="AT29" i="1"/>
  <c r="AH29" i="14"/>
  <c r="AR29" i="14" s="1"/>
  <c r="AH29" i="13"/>
  <c r="AR29" i="13" s="1"/>
  <c r="AH29" i="12"/>
  <c r="AR29" i="12" s="1"/>
  <c r="AH29" i="11"/>
  <c r="AR29" i="11" s="1"/>
  <c r="AH29" i="9"/>
  <c r="AR29" i="9" s="1"/>
  <c r="AH29" i="5"/>
  <c r="AR29" i="5" s="1"/>
  <c r="AH29" i="8"/>
  <c r="AR29" i="8" s="1"/>
  <c r="AH29" i="10"/>
  <c r="AR29" i="10" s="1"/>
  <c r="AH29" i="7"/>
  <c r="AR29" i="7" s="1"/>
  <c r="AR29" i="6"/>
  <c r="AH29" i="2"/>
  <c r="AR29" i="2" s="1"/>
  <c r="BB27" i="1"/>
  <c r="AP27" i="14"/>
  <c r="AZ27" i="14" s="1"/>
  <c r="AP27" i="12"/>
  <c r="AZ27" i="12" s="1"/>
  <c r="AP27" i="11"/>
  <c r="AZ27" i="11" s="1"/>
  <c r="AP27" i="13"/>
  <c r="AZ27" i="13" s="1"/>
  <c r="AP27" i="9"/>
  <c r="AZ27" i="9" s="1"/>
  <c r="AP27" i="10"/>
  <c r="AZ27" i="10" s="1"/>
  <c r="AP27" i="8"/>
  <c r="AZ27" i="8" s="1"/>
  <c r="AP27" i="7"/>
  <c r="AZ27" i="7" s="1"/>
  <c r="AP27" i="6"/>
  <c r="AZ27" i="6" s="1"/>
  <c r="AP27" i="5"/>
  <c r="AZ27" i="5" s="1"/>
  <c r="AP27" i="2"/>
  <c r="AZ27" i="2" s="1"/>
  <c r="AZ26" i="1"/>
  <c r="AN26" i="14"/>
  <c r="AX26" i="14" s="1"/>
  <c r="AN26" i="13"/>
  <c r="AX26" i="13" s="1"/>
  <c r="AN26" i="12"/>
  <c r="AX26" i="12" s="1"/>
  <c r="AN26" i="11"/>
  <c r="AX26" i="11" s="1"/>
  <c r="AN26" i="10"/>
  <c r="AX26" i="10" s="1"/>
  <c r="AN26" i="8"/>
  <c r="AX26" i="8" s="1"/>
  <c r="AN26" i="7"/>
  <c r="AX26" i="7" s="1"/>
  <c r="AN26" i="5"/>
  <c r="AX26" i="5" s="1"/>
  <c r="AN26" i="9"/>
  <c r="AX26" i="9" s="1"/>
  <c r="AN26" i="6"/>
  <c r="AX26" i="6" s="1"/>
  <c r="AN26" i="2"/>
  <c r="AX26" i="2" s="1"/>
  <c r="AX25" i="1"/>
  <c r="AL25" i="13"/>
  <c r="AV25" i="13" s="1"/>
  <c r="AL25" i="14"/>
  <c r="AV25" i="14" s="1"/>
  <c r="AL25" i="12"/>
  <c r="AV25" i="12" s="1"/>
  <c r="AL25" i="11"/>
  <c r="AV25" i="11" s="1"/>
  <c r="AL25" i="9"/>
  <c r="AV25" i="9" s="1"/>
  <c r="AL25" i="10"/>
  <c r="AV25" i="10" s="1"/>
  <c r="AL25" i="8"/>
  <c r="AV25" i="8" s="1"/>
  <c r="AL25" i="5"/>
  <c r="AV25" i="5" s="1"/>
  <c r="AL25" i="6"/>
  <c r="AV25" i="6" s="1"/>
  <c r="AL25" i="7"/>
  <c r="AV25" i="7" s="1"/>
  <c r="AL25" i="2"/>
  <c r="AV25" i="2" s="1"/>
  <c r="AV67" i="1"/>
  <c r="AJ67" i="14"/>
  <c r="AT67" i="14" s="1"/>
  <c r="AJ67" i="13"/>
  <c r="AT67" i="13" s="1"/>
  <c r="AJ67" i="12"/>
  <c r="AT67" i="12" s="1"/>
  <c r="AJ67" i="11"/>
  <c r="AT67" i="11" s="1"/>
  <c r="AJ67" i="10"/>
  <c r="AT67" i="10" s="1"/>
  <c r="AJ67" i="9"/>
  <c r="AT67" i="9" s="1"/>
  <c r="AJ67" i="8"/>
  <c r="AT67" i="8" s="1"/>
  <c r="AJ67" i="7"/>
  <c r="AT67" i="7" s="1"/>
  <c r="AJ67" i="5"/>
  <c r="AT67" i="5" s="1"/>
  <c r="AJ67" i="6"/>
  <c r="AT67" i="6" s="1"/>
  <c r="AJ67" i="2"/>
  <c r="AT67" i="2" s="1"/>
  <c r="AT66" i="1"/>
  <c r="AH66" i="14"/>
  <c r="AR66" i="14" s="1"/>
  <c r="AH66" i="13"/>
  <c r="AR66" i="13" s="1"/>
  <c r="AH66" i="12"/>
  <c r="AR66" i="12" s="1"/>
  <c r="AH66" i="11"/>
  <c r="AR66" i="11" s="1"/>
  <c r="AH66" i="10"/>
  <c r="AR66" i="10" s="1"/>
  <c r="AH66" i="9"/>
  <c r="AR66" i="9" s="1"/>
  <c r="AH66" i="8"/>
  <c r="AR66" i="8" s="1"/>
  <c r="AH66" i="5"/>
  <c r="AR66" i="5" s="1"/>
  <c r="AH66" i="7"/>
  <c r="AR66" i="7" s="1"/>
  <c r="AR66" i="6"/>
  <c r="AH66" i="2"/>
  <c r="AR66" i="2" s="1"/>
  <c r="BB64" i="1"/>
  <c r="AP64" i="14"/>
  <c r="AZ64" i="14" s="1"/>
  <c r="AP64" i="13"/>
  <c r="AZ64" i="13" s="1"/>
  <c r="AP64" i="12"/>
  <c r="AZ64" i="12" s="1"/>
  <c r="AP64" i="11"/>
  <c r="AZ64" i="11" s="1"/>
  <c r="AP64" i="9"/>
  <c r="AZ64" i="9" s="1"/>
  <c r="AP64" i="10"/>
  <c r="AZ64" i="10" s="1"/>
  <c r="AP64" i="8"/>
  <c r="AZ64" i="8" s="1"/>
  <c r="AP64" i="5"/>
  <c r="AZ64" i="5" s="1"/>
  <c r="AP64" i="6"/>
  <c r="AZ64" i="6" s="1"/>
  <c r="AP64" i="2"/>
  <c r="AZ64" i="2" s="1"/>
  <c r="AP64" i="7"/>
  <c r="AZ64" i="7" s="1"/>
  <c r="AZ63" i="1"/>
  <c r="AN63" i="14"/>
  <c r="AX63" i="14" s="1"/>
  <c r="AN63" i="13"/>
  <c r="AX63" i="13" s="1"/>
  <c r="AN63" i="12"/>
  <c r="AX63" i="12" s="1"/>
  <c r="AN63" i="11"/>
  <c r="AX63" i="11" s="1"/>
  <c r="AN63" i="9"/>
  <c r="AX63" i="9" s="1"/>
  <c r="AN63" i="8"/>
  <c r="AX63" i="8" s="1"/>
  <c r="AN63" i="7"/>
  <c r="AX63" i="7" s="1"/>
  <c r="AN63" i="10"/>
  <c r="AX63" i="10" s="1"/>
  <c r="AN63" i="5"/>
  <c r="AX63" i="5" s="1"/>
  <c r="AN63" i="2"/>
  <c r="AX63" i="2" s="1"/>
  <c r="AN63" i="6"/>
  <c r="AX63" i="6" s="1"/>
  <c r="AX62" i="1"/>
  <c r="AL62" i="14"/>
  <c r="AV62" i="14" s="1"/>
  <c r="AL62" i="13"/>
  <c r="AV62" i="13" s="1"/>
  <c r="AL62" i="12"/>
  <c r="AV62" i="12" s="1"/>
  <c r="AL62" i="11"/>
  <c r="AV62" i="11" s="1"/>
  <c r="AL62" i="10"/>
  <c r="AV62" i="10" s="1"/>
  <c r="AL62" i="9"/>
  <c r="AV62" i="9" s="1"/>
  <c r="AL62" i="8"/>
  <c r="AV62" i="8" s="1"/>
  <c r="AL62" i="2"/>
  <c r="AV62" i="2" s="1"/>
  <c r="AL62" i="7"/>
  <c r="AV62" i="7" s="1"/>
  <c r="AL62" i="6"/>
  <c r="AV62" i="6" s="1"/>
  <c r="AL62" i="5"/>
  <c r="AV62" i="5" s="1"/>
  <c r="AV61" i="1"/>
  <c r="AJ61" i="14"/>
  <c r="AT61" i="14" s="1"/>
  <c r="AJ61" i="13"/>
  <c r="AT61" i="13" s="1"/>
  <c r="AJ61" i="12"/>
  <c r="AT61" i="12" s="1"/>
  <c r="AJ61" i="11"/>
  <c r="AT61" i="11" s="1"/>
  <c r="AJ61" i="9"/>
  <c r="AT61" i="9" s="1"/>
  <c r="AJ61" i="10"/>
  <c r="AT61" i="10" s="1"/>
  <c r="AJ61" i="8"/>
  <c r="AT61" i="8" s="1"/>
  <c r="AJ61" i="7"/>
  <c r="AT61" i="7" s="1"/>
  <c r="AJ61" i="2"/>
  <c r="AT61" i="2" s="1"/>
  <c r="AJ61" i="6"/>
  <c r="AT61" i="6" s="1"/>
  <c r="AJ61" i="5"/>
  <c r="AT61" i="5" s="1"/>
  <c r="AT60" i="1"/>
  <c r="AH60" i="14"/>
  <c r="AR60" i="14" s="1"/>
  <c r="AH60" i="13"/>
  <c r="AR60" i="13" s="1"/>
  <c r="AH60" i="12"/>
  <c r="AR60" i="12" s="1"/>
  <c r="AH60" i="10"/>
  <c r="AR60" i="10" s="1"/>
  <c r="AH60" i="11"/>
  <c r="AR60" i="11" s="1"/>
  <c r="AH60" i="9"/>
  <c r="AR60" i="9" s="1"/>
  <c r="AH60" i="8"/>
  <c r="AR60" i="8" s="1"/>
  <c r="AH60" i="7"/>
  <c r="AR60" i="7" s="1"/>
  <c r="AH60" i="5"/>
  <c r="AR60" i="5" s="1"/>
  <c r="AH60" i="2"/>
  <c r="AR60" i="2" s="1"/>
  <c r="AR60" i="6"/>
  <c r="BB58" i="1"/>
  <c r="AP58" i="14"/>
  <c r="AZ58" i="14" s="1"/>
  <c r="AP58" i="13"/>
  <c r="AZ58" i="13" s="1"/>
  <c r="AP58" i="12"/>
  <c r="AZ58" i="12" s="1"/>
  <c r="AP58" i="10"/>
  <c r="AZ58" i="10" s="1"/>
  <c r="AP58" i="11"/>
  <c r="AZ58" i="11" s="1"/>
  <c r="AP58" i="8"/>
  <c r="AZ58" i="8" s="1"/>
  <c r="AP58" i="9"/>
  <c r="AZ58" i="9" s="1"/>
  <c r="AP58" i="7"/>
  <c r="AZ58" i="7" s="1"/>
  <c r="AP58" i="6"/>
  <c r="AZ58" i="6" s="1"/>
  <c r="AP58" i="5"/>
  <c r="AZ58" i="5" s="1"/>
  <c r="AP58" i="2"/>
  <c r="AZ58" i="2" s="1"/>
  <c r="AZ20" i="1"/>
  <c r="AN20" i="14"/>
  <c r="AX20" i="14" s="1"/>
  <c r="AN20" i="13"/>
  <c r="AX20" i="13" s="1"/>
  <c r="AN20" i="12"/>
  <c r="AX20" i="12" s="1"/>
  <c r="AN20" i="11"/>
  <c r="AX20" i="11" s="1"/>
  <c r="AN20" i="8"/>
  <c r="AX20" i="8" s="1"/>
  <c r="AN20" i="7"/>
  <c r="AX20" i="7" s="1"/>
  <c r="AN20" i="9"/>
  <c r="AX20" i="9" s="1"/>
  <c r="AN20" i="6"/>
  <c r="AX20" i="6" s="1"/>
  <c r="AN20" i="5"/>
  <c r="AX20" i="5" s="1"/>
  <c r="AN20" i="2"/>
  <c r="AX20" i="2" s="1"/>
  <c r="AN20" i="10"/>
  <c r="AX20" i="10" s="1"/>
  <c r="AX19" i="1"/>
  <c r="AL19" i="14"/>
  <c r="AV19" i="14" s="1"/>
  <c r="AL19" i="13"/>
  <c r="AV19" i="13" s="1"/>
  <c r="AL19" i="12"/>
  <c r="AV19" i="12" s="1"/>
  <c r="AL19" i="10"/>
  <c r="AV19" i="10" s="1"/>
  <c r="AL19" i="9"/>
  <c r="AV19" i="9" s="1"/>
  <c r="AL19" i="11"/>
  <c r="AV19" i="11" s="1"/>
  <c r="AL19" i="8"/>
  <c r="AV19" i="8" s="1"/>
  <c r="AL19" i="7"/>
  <c r="AV19" i="7" s="1"/>
  <c r="AL19" i="6"/>
  <c r="AV19" i="6" s="1"/>
  <c r="AL19" i="5"/>
  <c r="AV19" i="5" s="1"/>
  <c r="AL19" i="2"/>
  <c r="AV19" i="2" s="1"/>
  <c r="AV18" i="1"/>
  <c r="AJ18" i="14"/>
  <c r="AT18" i="14" s="1"/>
  <c r="AJ18" i="11"/>
  <c r="AT18" i="11" s="1"/>
  <c r="AJ18" i="12"/>
  <c r="AT18" i="12" s="1"/>
  <c r="AJ18" i="13"/>
  <c r="AT18" i="13" s="1"/>
  <c r="AJ18" i="10"/>
  <c r="AT18" i="10" s="1"/>
  <c r="AJ18" i="9"/>
  <c r="AT18" i="9" s="1"/>
  <c r="AJ18" i="8"/>
  <c r="AT18" i="8" s="1"/>
  <c r="AJ18" i="5"/>
  <c r="AT18" i="5" s="1"/>
  <c r="AJ18" i="7"/>
  <c r="AT18" i="7" s="1"/>
  <c r="AJ18" i="6"/>
  <c r="AT18" i="6" s="1"/>
  <c r="AJ18" i="2"/>
  <c r="AT18" i="2" s="1"/>
  <c r="AU85" i="1"/>
  <c r="AI85" i="14"/>
  <c r="AS85" i="14" s="1"/>
  <c r="AI85" i="13"/>
  <c r="AS85" i="13" s="1"/>
  <c r="AI85" i="12"/>
  <c r="AS85" i="12" s="1"/>
  <c r="AI85" i="11"/>
  <c r="AS85" i="11" s="1"/>
  <c r="AI85" i="10"/>
  <c r="AS85" i="10" s="1"/>
  <c r="AI85" i="9"/>
  <c r="AS85" i="9" s="1"/>
  <c r="AI85" i="8"/>
  <c r="AS85" i="8" s="1"/>
  <c r="AS85" i="6"/>
  <c r="AI85" i="5"/>
  <c r="AS85" i="5" s="1"/>
  <c r="AI85" i="2"/>
  <c r="AS85" i="2" s="1"/>
  <c r="AW84" i="1"/>
  <c r="AK84" i="14"/>
  <c r="AU84" i="14" s="1"/>
  <c r="AK84" i="13"/>
  <c r="AU84" i="13" s="1"/>
  <c r="AK84" i="12"/>
  <c r="AU84" i="12" s="1"/>
  <c r="AK84" i="11"/>
  <c r="AU84" i="11" s="1"/>
  <c r="AK84" i="10"/>
  <c r="AU84" i="10" s="1"/>
  <c r="AK84" i="9"/>
  <c r="AU84" i="9" s="1"/>
  <c r="AU84" i="7"/>
  <c r="AK84" i="8"/>
  <c r="AU84" i="8" s="1"/>
  <c r="AK84" i="6"/>
  <c r="AU84" i="6" s="1"/>
  <c r="AK84" i="5"/>
  <c r="AU84" i="5" s="1"/>
  <c r="AK84" i="2"/>
  <c r="AU84" i="2" s="1"/>
  <c r="AV29" i="1"/>
  <c r="AJ29" i="14"/>
  <c r="AT29" i="14" s="1"/>
  <c r="AJ29" i="13"/>
  <c r="AT29" i="13" s="1"/>
  <c r="AJ29" i="12"/>
  <c r="AT29" i="12" s="1"/>
  <c r="AJ29" i="10"/>
  <c r="AT29" i="10" s="1"/>
  <c r="AJ29" i="11"/>
  <c r="AT29" i="11" s="1"/>
  <c r="AJ29" i="9"/>
  <c r="AT29" i="9" s="1"/>
  <c r="AJ29" i="8"/>
  <c r="AT29" i="8" s="1"/>
  <c r="AJ29" i="7"/>
  <c r="AT29" i="7" s="1"/>
  <c r="AJ29" i="6"/>
  <c r="AT29" i="6" s="1"/>
  <c r="AJ29" i="2"/>
  <c r="AT29" i="2" s="1"/>
  <c r="AJ29" i="5"/>
  <c r="AT29" i="5" s="1"/>
  <c r="AX28" i="1"/>
  <c r="AL28" i="14"/>
  <c r="AV28" i="14" s="1"/>
  <c r="AL28" i="12"/>
  <c r="AV28" i="12" s="1"/>
  <c r="AL28" i="13"/>
  <c r="AV28" i="13" s="1"/>
  <c r="AL28" i="11"/>
  <c r="AV28" i="11" s="1"/>
  <c r="AL28" i="10"/>
  <c r="AV28" i="10" s="1"/>
  <c r="AL28" i="9"/>
  <c r="AV28" i="9" s="1"/>
  <c r="AL28" i="8"/>
  <c r="AV28" i="8" s="1"/>
  <c r="AL28" i="7"/>
  <c r="AV28" i="7" s="1"/>
  <c r="AL28" i="5"/>
  <c r="AV28" i="5" s="1"/>
  <c r="AL28" i="2"/>
  <c r="AV28" i="2" s="1"/>
  <c r="AL28" i="6"/>
  <c r="AV28" i="6" s="1"/>
  <c r="AZ27" i="1"/>
  <c r="AN27" i="14"/>
  <c r="AX27" i="14" s="1"/>
  <c r="AN27" i="13"/>
  <c r="AX27" i="13" s="1"/>
  <c r="AN27" i="11"/>
  <c r="AX27" i="11" s="1"/>
  <c r="AN27" i="12"/>
  <c r="AX27" i="12" s="1"/>
  <c r="AN27" i="10"/>
  <c r="AX27" i="10" s="1"/>
  <c r="AN27" i="8"/>
  <c r="AX27" i="8" s="1"/>
  <c r="AN27" i="6"/>
  <c r="AX27" i="6" s="1"/>
  <c r="AN27" i="5"/>
  <c r="AX27" i="5" s="1"/>
  <c r="AN27" i="2"/>
  <c r="AX27" i="2" s="1"/>
  <c r="AN27" i="9"/>
  <c r="AX27" i="9" s="1"/>
  <c r="AN27" i="7"/>
  <c r="AX27" i="7" s="1"/>
  <c r="BB26" i="1"/>
  <c r="AP26" i="14"/>
  <c r="AZ26" i="14" s="1"/>
  <c r="AP26" i="13"/>
  <c r="AZ26" i="13" s="1"/>
  <c r="AP26" i="11"/>
  <c r="AZ26" i="11" s="1"/>
  <c r="AP26" i="12"/>
  <c r="AZ26" i="12" s="1"/>
  <c r="AP26" i="10"/>
  <c r="AZ26" i="10" s="1"/>
  <c r="AP26" i="9"/>
  <c r="AZ26" i="9" s="1"/>
  <c r="AP26" i="8"/>
  <c r="AZ26" i="8" s="1"/>
  <c r="AP26" i="2"/>
  <c r="AZ26" i="2" s="1"/>
  <c r="AP26" i="7"/>
  <c r="AZ26" i="7" s="1"/>
  <c r="AP26" i="5"/>
  <c r="AZ26" i="5" s="1"/>
  <c r="AP26" i="6"/>
  <c r="AZ26" i="6" s="1"/>
  <c r="AT26" i="1"/>
  <c r="AH26" i="13"/>
  <c r="AR26" i="13" s="1"/>
  <c r="AH26" i="11"/>
  <c r="AR26" i="11" s="1"/>
  <c r="AH26" i="14"/>
  <c r="AR26" i="14" s="1"/>
  <c r="AH26" i="10"/>
  <c r="AR26" i="10" s="1"/>
  <c r="AH26" i="9"/>
  <c r="AR26" i="9" s="1"/>
  <c r="AH26" i="12"/>
  <c r="AR26" i="12" s="1"/>
  <c r="AH26" i="8"/>
  <c r="AR26" i="8" s="1"/>
  <c r="AH26" i="2"/>
  <c r="AR26" i="2" s="1"/>
  <c r="AH26" i="7"/>
  <c r="AR26" i="7" s="1"/>
  <c r="AH26" i="5"/>
  <c r="AR26" i="5" s="1"/>
  <c r="AR26" i="6"/>
  <c r="AV25" i="1"/>
  <c r="AJ25" i="14"/>
  <c r="AT25" i="14" s="1"/>
  <c r="AJ25" i="13"/>
  <c r="AT25" i="13" s="1"/>
  <c r="AJ25" i="12"/>
  <c r="AT25" i="12" s="1"/>
  <c r="AJ25" i="10"/>
  <c r="AT25" i="10" s="1"/>
  <c r="AJ25" i="11"/>
  <c r="AT25" i="11" s="1"/>
  <c r="AJ25" i="9"/>
  <c r="AT25" i="9" s="1"/>
  <c r="AJ25" i="8"/>
  <c r="AT25" i="8" s="1"/>
  <c r="AJ25" i="7"/>
  <c r="AT25" i="7" s="1"/>
  <c r="AJ25" i="6"/>
  <c r="AT25" i="6" s="1"/>
  <c r="AJ25" i="2"/>
  <c r="AT25" i="2" s="1"/>
  <c r="AJ25" i="5"/>
  <c r="AT25" i="5" s="1"/>
  <c r="AT67" i="1"/>
  <c r="AH67" i="14"/>
  <c r="AR67" i="14" s="1"/>
  <c r="AH67" i="13"/>
  <c r="AR67" i="13" s="1"/>
  <c r="AH67" i="12"/>
  <c r="AR67" i="12" s="1"/>
  <c r="AH67" i="11"/>
  <c r="AR67" i="11" s="1"/>
  <c r="AH67" i="10"/>
  <c r="AR67" i="10" s="1"/>
  <c r="AH67" i="9"/>
  <c r="AR67" i="9" s="1"/>
  <c r="AH67" i="7"/>
  <c r="AR67" i="7" s="1"/>
  <c r="AR67" i="6"/>
  <c r="AH67" i="8"/>
  <c r="AR67" i="8" s="1"/>
  <c r="AH67" i="5"/>
  <c r="AR67" i="5" s="1"/>
  <c r="AH67" i="2"/>
  <c r="AR67" i="2" s="1"/>
  <c r="AV66" i="1"/>
  <c r="AJ66" i="14"/>
  <c r="AT66" i="14" s="1"/>
  <c r="AJ66" i="13"/>
  <c r="AT66" i="13" s="1"/>
  <c r="AJ66" i="12"/>
  <c r="AT66" i="12" s="1"/>
  <c r="AJ66" i="10"/>
  <c r="AT66" i="10" s="1"/>
  <c r="AJ66" i="11"/>
  <c r="AT66" i="11" s="1"/>
  <c r="AJ66" i="7"/>
  <c r="AT66" i="7" s="1"/>
  <c r="AJ66" i="9"/>
  <c r="AT66" i="9" s="1"/>
  <c r="AJ66" i="8"/>
  <c r="AT66" i="8" s="1"/>
  <c r="AJ66" i="6"/>
  <c r="AT66" i="6" s="1"/>
  <c r="AJ66" i="5"/>
  <c r="AT66" i="5" s="1"/>
  <c r="AJ66" i="2"/>
  <c r="AT66" i="2" s="1"/>
  <c r="AX65" i="1"/>
  <c r="AL65" i="14"/>
  <c r="AV65" i="14" s="1"/>
  <c r="AL65" i="13"/>
  <c r="AV65" i="13" s="1"/>
  <c r="AL65" i="12"/>
  <c r="AV65" i="12" s="1"/>
  <c r="AL65" i="10"/>
  <c r="AV65" i="10" s="1"/>
  <c r="AL65" i="11"/>
  <c r="AV65" i="11" s="1"/>
  <c r="AL65" i="9"/>
  <c r="AV65" i="9" s="1"/>
  <c r="AL65" i="8"/>
  <c r="AV65" i="8" s="1"/>
  <c r="AL65" i="7"/>
  <c r="AV65" i="7" s="1"/>
  <c r="AL65" i="6"/>
  <c r="AV65" i="6" s="1"/>
  <c r="AL65" i="5"/>
  <c r="AV65" i="5" s="1"/>
  <c r="AL65" i="2"/>
  <c r="AV65" i="2" s="1"/>
  <c r="AZ64" i="1"/>
  <c r="AN64" i="14"/>
  <c r="AX64" i="14" s="1"/>
  <c r="AN64" i="13"/>
  <c r="AX64" i="13" s="1"/>
  <c r="AN64" i="12"/>
  <c r="AX64" i="12" s="1"/>
  <c r="AN64" i="10"/>
  <c r="AX64" i="10" s="1"/>
  <c r="AN64" i="11"/>
  <c r="AX64" i="11" s="1"/>
  <c r="AN64" i="7"/>
  <c r="AX64" i="7" s="1"/>
  <c r="AN64" i="5"/>
  <c r="AX64" i="5" s="1"/>
  <c r="AN64" i="6"/>
  <c r="AX64" i="6" s="1"/>
  <c r="AN64" i="2"/>
  <c r="AX64" i="2" s="1"/>
  <c r="AN64" i="9"/>
  <c r="AX64" i="9" s="1"/>
  <c r="AN64" i="8"/>
  <c r="AX64" i="8" s="1"/>
  <c r="BB63" i="1"/>
  <c r="AP63" i="14"/>
  <c r="AZ63" i="14" s="1"/>
  <c r="AP63" i="13"/>
  <c r="AZ63" i="13" s="1"/>
  <c r="AP63" i="12"/>
  <c r="AZ63" i="12" s="1"/>
  <c r="AP63" i="11"/>
  <c r="AZ63" i="11" s="1"/>
  <c r="AP63" i="10"/>
  <c r="AZ63" i="10" s="1"/>
  <c r="AP63" i="9"/>
  <c r="AZ63" i="9" s="1"/>
  <c r="AP63" i="6"/>
  <c r="AZ63" i="6" s="1"/>
  <c r="AP63" i="8"/>
  <c r="AZ63" i="8" s="1"/>
  <c r="AP63" i="7"/>
  <c r="AZ63" i="7" s="1"/>
  <c r="AP63" i="5"/>
  <c r="AZ63" i="5" s="1"/>
  <c r="AP63" i="2"/>
  <c r="AZ63" i="2" s="1"/>
  <c r="AT63" i="1"/>
  <c r="AH63" i="13"/>
  <c r="AR63" i="13" s="1"/>
  <c r="AH63" i="14"/>
  <c r="AR63" i="14" s="1"/>
  <c r="AH63" i="12"/>
  <c r="AR63" i="12" s="1"/>
  <c r="AH63" i="11"/>
  <c r="AR63" i="11" s="1"/>
  <c r="AH63" i="10"/>
  <c r="AR63" i="10" s="1"/>
  <c r="AH63" i="9"/>
  <c r="AR63" i="9" s="1"/>
  <c r="AH63" i="8"/>
  <c r="AR63" i="8" s="1"/>
  <c r="AH63" i="7"/>
  <c r="AR63" i="7" s="1"/>
  <c r="AR63" i="6"/>
  <c r="AH63" i="5"/>
  <c r="AR63" i="5" s="1"/>
  <c r="AH63" i="2"/>
  <c r="AR63" i="2" s="1"/>
  <c r="AV62" i="1"/>
  <c r="AJ62" i="14"/>
  <c r="AT62" i="14" s="1"/>
  <c r="AJ62" i="13"/>
  <c r="AT62" i="13" s="1"/>
  <c r="AJ62" i="12"/>
  <c r="AT62" i="12" s="1"/>
  <c r="AJ62" i="10"/>
  <c r="AT62" i="10" s="1"/>
  <c r="AJ62" i="11"/>
  <c r="AT62" i="11" s="1"/>
  <c r="AJ62" i="7"/>
  <c r="AT62" i="7" s="1"/>
  <c r="AJ62" i="6"/>
  <c r="AT62" i="6" s="1"/>
  <c r="AJ62" i="5"/>
  <c r="AT62" i="5" s="1"/>
  <c r="AJ62" i="8"/>
  <c r="AT62" i="8" s="1"/>
  <c r="AJ62" i="2"/>
  <c r="AT62" i="2" s="1"/>
  <c r="AJ62" i="9"/>
  <c r="AT62" i="9" s="1"/>
  <c r="AX61" i="1"/>
  <c r="AL61" i="14"/>
  <c r="AV61" i="14" s="1"/>
  <c r="AL61" i="13"/>
  <c r="AV61" i="13" s="1"/>
  <c r="AL61" i="12"/>
  <c r="AV61" i="12" s="1"/>
  <c r="AL61" i="11"/>
  <c r="AV61" i="11" s="1"/>
  <c r="AL61" i="10"/>
  <c r="AV61" i="10" s="1"/>
  <c r="AL61" i="9"/>
  <c r="AV61" i="9" s="1"/>
  <c r="AL61" i="6"/>
  <c r="AV61" i="6" s="1"/>
  <c r="AL61" i="5"/>
  <c r="AV61" i="5" s="1"/>
  <c r="AL61" i="7"/>
  <c r="AV61" i="7" s="1"/>
  <c r="AL61" i="8"/>
  <c r="AV61" i="8" s="1"/>
  <c r="AL61" i="2"/>
  <c r="AV61" i="2" s="1"/>
  <c r="AZ60" i="1"/>
  <c r="AN60" i="14"/>
  <c r="AX60" i="14" s="1"/>
  <c r="AN60" i="13"/>
  <c r="AX60" i="13" s="1"/>
  <c r="AN60" i="12"/>
  <c r="AX60" i="12" s="1"/>
  <c r="AN60" i="11"/>
  <c r="AX60" i="11" s="1"/>
  <c r="AN60" i="9"/>
  <c r="AX60" i="9" s="1"/>
  <c r="AN60" i="7"/>
  <c r="AX60" i="7" s="1"/>
  <c r="AN60" i="10"/>
  <c r="AX60" i="10" s="1"/>
  <c r="AN60" i="8"/>
  <c r="AX60" i="8" s="1"/>
  <c r="AN60" i="6"/>
  <c r="AX60" i="6" s="1"/>
  <c r="AN60" i="5"/>
  <c r="AX60" i="5" s="1"/>
  <c r="AN60" i="2"/>
  <c r="AX60" i="2" s="1"/>
  <c r="BB59" i="1"/>
  <c r="AP59" i="14"/>
  <c r="AZ59" i="14" s="1"/>
  <c r="AP59" i="12"/>
  <c r="AZ59" i="12" s="1"/>
  <c r="AP59" i="13"/>
  <c r="AZ59" i="13" s="1"/>
  <c r="AP59" i="11"/>
  <c r="AZ59" i="11" s="1"/>
  <c r="AP59" i="10"/>
  <c r="AZ59" i="10" s="1"/>
  <c r="AP59" i="9"/>
  <c r="AZ59" i="9" s="1"/>
  <c r="AP59" i="8"/>
  <c r="AZ59" i="8" s="1"/>
  <c r="AP59" i="6"/>
  <c r="AZ59" i="6" s="1"/>
  <c r="AP59" i="7"/>
  <c r="AZ59" i="7" s="1"/>
  <c r="AP59" i="2"/>
  <c r="AZ59" i="2" s="1"/>
  <c r="AP59" i="5"/>
  <c r="AZ59" i="5" s="1"/>
  <c r="AT59" i="1"/>
  <c r="AH59" i="14"/>
  <c r="AR59" i="14" s="1"/>
  <c r="AH59" i="13"/>
  <c r="AR59" i="13" s="1"/>
  <c r="AH59" i="12"/>
  <c r="AR59" i="12" s="1"/>
  <c r="AH59" i="11"/>
  <c r="AR59" i="11" s="1"/>
  <c r="AH59" i="10"/>
  <c r="AR59" i="10" s="1"/>
  <c r="AH59" i="9"/>
  <c r="AR59" i="9" s="1"/>
  <c r="AH59" i="7"/>
  <c r="AR59" i="7" s="1"/>
  <c r="AR59" i="6"/>
  <c r="AH59" i="8"/>
  <c r="AR59" i="8" s="1"/>
  <c r="AH59" i="2"/>
  <c r="AR59" i="2" s="1"/>
  <c r="AH59" i="5"/>
  <c r="AR59" i="5" s="1"/>
  <c r="AV58" i="1"/>
  <c r="AJ58" i="14"/>
  <c r="AT58" i="14" s="1"/>
  <c r="AJ58" i="13"/>
  <c r="AT58" i="13" s="1"/>
  <c r="AJ58" i="12"/>
  <c r="AT58" i="12" s="1"/>
  <c r="AJ58" i="11"/>
  <c r="AT58" i="11" s="1"/>
  <c r="AJ58" i="9"/>
  <c r="AT58" i="9" s="1"/>
  <c r="AJ58" i="7"/>
  <c r="AT58" i="7" s="1"/>
  <c r="AJ58" i="8"/>
  <c r="AT58" i="8" s="1"/>
  <c r="AJ58" i="10"/>
  <c r="AT58" i="10" s="1"/>
  <c r="AJ58" i="5"/>
  <c r="AT58" i="5" s="1"/>
  <c r="AJ58" i="2"/>
  <c r="AT58" i="2" s="1"/>
  <c r="AJ58" i="6"/>
  <c r="AT58" i="6" s="1"/>
  <c r="AX20" i="1"/>
  <c r="AL20" i="14"/>
  <c r="AV20" i="14" s="1"/>
  <c r="AL20" i="13"/>
  <c r="AV20" i="13" s="1"/>
  <c r="AL20" i="11"/>
  <c r="AV20" i="11" s="1"/>
  <c r="AL20" i="12"/>
  <c r="AV20" i="12" s="1"/>
  <c r="AL20" i="10"/>
  <c r="AV20" i="10" s="1"/>
  <c r="AL20" i="9"/>
  <c r="AV20" i="9" s="1"/>
  <c r="AL20" i="8"/>
  <c r="AV20" i="8" s="1"/>
  <c r="AL20" i="5"/>
  <c r="AV20" i="5" s="1"/>
  <c r="AL20" i="2"/>
  <c r="AV20" i="2" s="1"/>
  <c r="AL20" i="7"/>
  <c r="AV20" i="7" s="1"/>
  <c r="AL20" i="6"/>
  <c r="AV20" i="6" s="1"/>
  <c r="AZ19" i="1"/>
  <c r="AN19" i="14"/>
  <c r="AX19" i="14" s="1"/>
  <c r="AN19" i="13"/>
  <c r="AX19" i="13" s="1"/>
  <c r="AN19" i="11"/>
  <c r="AX19" i="11" s="1"/>
  <c r="AN19" i="12"/>
  <c r="AX19" i="12" s="1"/>
  <c r="AN19" i="10"/>
  <c r="AX19" i="10" s="1"/>
  <c r="AN19" i="6"/>
  <c r="AX19" i="6" s="1"/>
  <c r="AN19" i="5"/>
  <c r="AX19" i="5" s="1"/>
  <c r="AN19" i="2"/>
  <c r="AX19" i="2" s="1"/>
  <c r="AN19" i="8"/>
  <c r="AX19" i="8" s="1"/>
  <c r="AN19" i="9"/>
  <c r="AX19" i="9" s="1"/>
  <c r="AN19" i="7"/>
  <c r="AX19" i="7" s="1"/>
  <c r="BB18" i="1"/>
  <c r="AP18" i="14"/>
  <c r="AZ18" i="14" s="1"/>
  <c r="AP18" i="13"/>
  <c r="AZ18" i="13" s="1"/>
  <c r="AP18" i="12"/>
  <c r="AZ18" i="12" s="1"/>
  <c r="AP18" i="10"/>
  <c r="AZ18" i="10" s="1"/>
  <c r="AP18" i="9"/>
  <c r="AZ18" i="9" s="1"/>
  <c r="AP18" i="8"/>
  <c r="AZ18" i="8" s="1"/>
  <c r="AP18" i="11"/>
  <c r="AZ18" i="11" s="1"/>
  <c r="AP18" i="2"/>
  <c r="AZ18" i="2" s="1"/>
  <c r="AP18" i="7"/>
  <c r="AZ18" i="7" s="1"/>
  <c r="AP18" i="6"/>
  <c r="AZ18" i="6" s="1"/>
  <c r="AP18" i="5"/>
  <c r="AZ18" i="5" s="1"/>
  <c r="AT18" i="1"/>
  <c r="AH18" i="13"/>
  <c r="AR18" i="13" s="1"/>
  <c r="AH18" i="14"/>
  <c r="AR18" i="14" s="1"/>
  <c r="AH18" i="12"/>
  <c r="AR18" i="12" s="1"/>
  <c r="AH18" i="10"/>
  <c r="AR18" i="10" s="1"/>
  <c r="AH18" i="9"/>
  <c r="AR18" i="9" s="1"/>
  <c r="AH18" i="11"/>
  <c r="AR18" i="11" s="1"/>
  <c r="AH18" i="8"/>
  <c r="AR18" i="8" s="1"/>
  <c r="AH18" i="2"/>
  <c r="AR18" i="2" s="1"/>
  <c r="AR18" i="6"/>
  <c r="AH18" i="7"/>
  <c r="AR18" i="7" s="1"/>
  <c r="AH18" i="5"/>
  <c r="AR18" i="5" s="1"/>
  <c r="BC84" i="1"/>
  <c r="AQ84" i="14"/>
  <c r="BA84" i="14" s="1"/>
  <c r="AQ84" i="13"/>
  <c r="BA84" i="13" s="1"/>
  <c r="AQ84" i="12"/>
  <c r="BA84" i="12" s="1"/>
  <c r="AQ84" i="11"/>
  <c r="BA84" i="11" s="1"/>
  <c r="AQ84" i="10"/>
  <c r="BA84" i="10" s="1"/>
  <c r="AQ84" i="9"/>
  <c r="BA84" i="9" s="1"/>
  <c r="AQ84" i="8"/>
  <c r="BA84" i="8" s="1"/>
  <c r="BA84" i="7"/>
  <c r="AQ84" i="5"/>
  <c r="BA84" i="5" s="1"/>
  <c r="AQ84" i="6"/>
  <c r="BA84" i="6" s="1"/>
  <c r="AQ84" i="2"/>
  <c r="BA84" i="2" s="1"/>
  <c r="AU84" i="1"/>
  <c r="AI84" i="14"/>
  <c r="AS84" i="14" s="1"/>
  <c r="AI84" i="13"/>
  <c r="AS84" i="13" s="1"/>
  <c r="AI84" i="12"/>
  <c r="AS84" i="12" s="1"/>
  <c r="AI84" i="11"/>
  <c r="AS84" i="11" s="1"/>
  <c r="AI84" i="10"/>
  <c r="AS84" i="10" s="1"/>
  <c r="AI84" i="9"/>
  <c r="AS84" i="9" s="1"/>
  <c r="AI84" i="8"/>
  <c r="AS84" i="8" s="1"/>
  <c r="AI84" i="5"/>
  <c r="AS84" i="5" s="1"/>
  <c r="AS84" i="6"/>
  <c r="AI84" i="2"/>
  <c r="AS84" i="2" s="1"/>
  <c r="BB29" i="1"/>
  <c r="AP29" i="14"/>
  <c r="AZ29" i="14" s="1"/>
  <c r="AP29" i="13"/>
  <c r="AZ29" i="13" s="1"/>
  <c r="AP29" i="12"/>
  <c r="AZ29" i="12" s="1"/>
  <c r="AP29" i="11"/>
  <c r="AZ29" i="11" s="1"/>
  <c r="AP29" i="9"/>
  <c r="AZ29" i="9" s="1"/>
  <c r="AP29" i="10"/>
  <c r="AZ29" i="10" s="1"/>
  <c r="AP29" i="8"/>
  <c r="AZ29" i="8" s="1"/>
  <c r="AP29" i="5"/>
  <c r="AZ29" i="5" s="1"/>
  <c r="AP29" i="7"/>
  <c r="AZ29" i="7" s="1"/>
  <c r="AP29" i="6"/>
  <c r="AZ29" i="6" s="1"/>
  <c r="AP29" i="2"/>
  <c r="AZ29" i="2" s="1"/>
  <c r="AZ28" i="1"/>
  <c r="AN28" i="14"/>
  <c r="AX28" i="14" s="1"/>
  <c r="AN28" i="13"/>
  <c r="AX28" i="13" s="1"/>
  <c r="AN28" i="12"/>
  <c r="AX28" i="12" s="1"/>
  <c r="AN28" i="11"/>
  <c r="AX28" i="11" s="1"/>
  <c r="AN28" i="8"/>
  <c r="AX28" i="8" s="1"/>
  <c r="AN28" i="10"/>
  <c r="AX28" i="10" s="1"/>
  <c r="AN28" i="9"/>
  <c r="AX28" i="9" s="1"/>
  <c r="AN28" i="6"/>
  <c r="AX28" i="6" s="1"/>
  <c r="AN28" i="7"/>
  <c r="AX28" i="7" s="1"/>
  <c r="AN28" i="5"/>
  <c r="AX28" i="5" s="1"/>
  <c r="AN28" i="2"/>
  <c r="AX28" i="2" s="1"/>
  <c r="AT27" i="1"/>
  <c r="AH27" i="13"/>
  <c r="AR27" i="13" s="1"/>
  <c r="AH27" i="14"/>
  <c r="AR27" i="14" s="1"/>
  <c r="AH27" i="12"/>
  <c r="AR27" i="12" s="1"/>
  <c r="AH27" i="11"/>
  <c r="AR27" i="11" s="1"/>
  <c r="AH27" i="9"/>
  <c r="AR27" i="9" s="1"/>
  <c r="AH27" i="8"/>
  <c r="AR27" i="8" s="1"/>
  <c r="AH27" i="10"/>
  <c r="AR27" i="10" s="1"/>
  <c r="AH27" i="7"/>
  <c r="AR27" i="7" s="1"/>
  <c r="AR27" i="6"/>
  <c r="AH27" i="5"/>
  <c r="AR27" i="5" s="1"/>
  <c r="AH27" i="2"/>
  <c r="AR27" i="2" s="1"/>
  <c r="BB25" i="1"/>
  <c r="AP25" i="13"/>
  <c r="AZ25" i="13" s="1"/>
  <c r="AP25" i="14"/>
  <c r="AZ25" i="14" s="1"/>
  <c r="AP25" i="12"/>
  <c r="AZ25" i="12" s="1"/>
  <c r="AP25" i="11"/>
  <c r="AZ25" i="11" s="1"/>
  <c r="AP25" i="9"/>
  <c r="AZ25" i="9" s="1"/>
  <c r="AP25" i="5"/>
  <c r="AZ25" i="5" s="1"/>
  <c r="AP25" i="10"/>
  <c r="AZ25" i="10" s="1"/>
  <c r="AP25" i="7"/>
  <c r="AZ25" i="7" s="1"/>
  <c r="AP25" i="8"/>
  <c r="AZ25" i="8" s="1"/>
  <c r="AP25" i="6"/>
  <c r="AZ25" i="6" s="1"/>
  <c r="AP25" i="2"/>
  <c r="AZ25" i="2" s="1"/>
  <c r="AZ67" i="1"/>
  <c r="AN67" i="14"/>
  <c r="AX67" i="14" s="1"/>
  <c r="AN67" i="13"/>
  <c r="AX67" i="13" s="1"/>
  <c r="AN67" i="12"/>
  <c r="AX67" i="12" s="1"/>
  <c r="AN67" i="11"/>
  <c r="AX67" i="11" s="1"/>
  <c r="AN67" i="9"/>
  <c r="AX67" i="9" s="1"/>
  <c r="AN67" i="8"/>
  <c r="AX67" i="8" s="1"/>
  <c r="AN67" i="7"/>
  <c r="AX67" i="7" s="1"/>
  <c r="AN67" i="5"/>
  <c r="AX67" i="5" s="1"/>
  <c r="AN67" i="10"/>
  <c r="AX67" i="10" s="1"/>
  <c r="AN67" i="6"/>
  <c r="AX67" i="6" s="1"/>
  <c r="AN67" i="2"/>
  <c r="AX67" i="2" s="1"/>
  <c r="AX66" i="1"/>
  <c r="AL66" i="14"/>
  <c r="AV66" i="14" s="1"/>
  <c r="AL66" i="12"/>
  <c r="AV66" i="12" s="1"/>
  <c r="AL66" i="11"/>
  <c r="AV66" i="11" s="1"/>
  <c r="AL66" i="13"/>
  <c r="AV66" i="13" s="1"/>
  <c r="AL66" i="9"/>
  <c r="AV66" i="9" s="1"/>
  <c r="AL66" i="10"/>
  <c r="AV66" i="10" s="1"/>
  <c r="AL66" i="8"/>
  <c r="AV66" i="8" s="1"/>
  <c r="AL66" i="5"/>
  <c r="AV66" i="5" s="1"/>
  <c r="AL66" i="7"/>
  <c r="AV66" i="7" s="1"/>
  <c r="AL66" i="2"/>
  <c r="AV66" i="2" s="1"/>
  <c r="AL66" i="6"/>
  <c r="AV66" i="6" s="1"/>
  <c r="AZ65" i="1"/>
  <c r="AN65" i="14"/>
  <c r="AX65" i="14" s="1"/>
  <c r="AN65" i="13"/>
  <c r="AX65" i="13" s="1"/>
  <c r="AN65" i="12"/>
  <c r="AX65" i="12" s="1"/>
  <c r="AN65" i="10"/>
  <c r="AX65" i="10" s="1"/>
  <c r="AN65" i="9"/>
  <c r="AX65" i="9" s="1"/>
  <c r="AN65" i="11"/>
  <c r="AX65" i="11" s="1"/>
  <c r="AN65" i="8"/>
  <c r="AX65" i="8" s="1"/>
  <c r="AN65" i="7"/>
  <c r="AX65" i="7" s="1"/>
  <c r="AN65" i="6"/>
  <c r="AX65" i="6" s="1"/>
  <c r="AN65" i="5"/>
  <c r="AX65" i="5" s="1"/>
  <c r="AN65" i="2"/>
  <c r="AX65" i="2" s="1"/>
  <c r="AX64" i="1"/>
  <c r="AL64" i="13"/>
  <c r="AV64" i="13" s="1"/>
  <c r="AL64" i="14"/>
  <c r="AV64" i="14" s="1"/>
  <c r="AL64" i="12"/>
  <c r="AV64" i="12" s="1"/>
  <c r="AL64" i="10"/>
  <c r="AV64" i="10" s="1"/>
  <c r="AL64" i="9"/>
  <c r="AV64" i="9" s="1"/>
  <c r="AL64" i="11"/>
  <c r="AV64" i="11" s="1"/>
  <c r="AL64" i="8"/>
  <c r="AV64" i="8" s="1"/>
  <c r="AL64" i="7"/>
  <c r="AV64" i="7" s="1"/>
  <c r="AL64" i="5"/>
  <c r="AV64" i="5" s="1"/>
  <c r="AL64" i="6"/>
  <c r="AV64" i="6" s="1"/>
  <c r="AL64" i="2"/>
  <c r="AV64" i="2" s="1"/>
  <c r="AV63" i="1"/>
  <c r="AJ63" i="14"/>
  <c r="AT63" i="14" s="1"/>
  <c r="AJ63" i="13"/>
  <c r="AT63" i="13" s="1"/>
  <c r="AJ63" i="11"/>
  <c r="AT63" i="11" s="1"/>
  <c r="AJ63" i="10"/>
  <c r="AT63" i="10" s="1"/>
  <c r="AJ63" i="9"/>
  <c r="AT63" i="9" s="1"/>
  <c r="AJ63" i="12"/>
  <c r="AT63" i="12" s="1"/>
  <c r="AJ63" i="8"/>
  <c r="AT63" i="8" s="1"/>
  <c r="AJ63" i="7"/>
  <c r="AT63" i="7" s="1"/>
  <c r="AJ63" i="5"/>
  <c r="AT63" i="5" s="1"/>
  <c r="AJ63" i="2"/>
  <c r="AT63" i="2" s="1"/>
  <c r="AJ63" i="6"/>
  <c r="AT63" i="6" s="1"/>
  <c r="AZ61" i="1"/>
  <c r="AN61" i="14"/>
  <c r="AX61" i="14" s="1"/>
  <c r="AN61" i="13"/>
  <c r="AX61" i="13" s="1"/>
  <c r="AN61" i="12"/>
  <c r="AX61" i="12" s="1"/>
  <c r="AN61" i="10"/>
  <c r="AX61" i="10" s="1"/>
  <c r="AN61" i="9"/>
  <c r="AX61" i="9" s="1"/>
  <c r="AN61" i="8"/>
  <c r="AX61" i="8" s="1"/>
  <c r="AN61" i="7"/>
  <c r="AX61" i="7" s="1"/>
  <c r="AN61" i="2"/>
  <c r="AX61" i="2" s="1"/>
  <c r="AN61" i="6"/>
  <c r="AX61" i="6" s="1"/>
  <c r="AN61" i="5"/>
  <c r="AX61" i="5" s="1"/>
  <c r="AN61" i="11"/>
  <c r="AX61" i="11" s="1"/>
  <c r="BB60" i="1"/>
  <c r="AP60" i="13"/>
  <c r="AZ60" i="13" s="1"/>
  <c r="AP60" i="14"/>
  <c r="AZ60" i="14" s="1"/>
  <c r="AP60" i="12"/>
  <c r="AZ60" i="12" s="1"/>
  <c r="AP60" i="10"/>
  <c r="AZ60" i="10" s="1"/>
  <c r="AP60" i="11"/>
  <c r="AZ60" i="11" s="1"/>
  <c r="AP60" i="9"/>
  <c r="AZ60" i="9" s="1"/>
  <c r="AP60" i="8"/>
  <c r="AZ60" i="8" s="1"/>
  <c r="AP60" i="5"/>
  <c r="AZ60" i="5" s="1"/>
  <c r="AP60" i="2"/>
  <c r="AZ60" i="2" s="1"/>
  <c r="AP60" i="7"/>
  <c r="AZ60" i="7" s="1"/>
  <c r="AP60" i="6"/>
  <c r="AZ60" i="6" s="1"/>
  <c r="AZ59" i="1"/>
  <c r="AN59" i="14"/>
  <c r="AX59" i="14" s="1"/>
  <c r="AN59" i="13"/>
  <c r="AX59" i="13" s="1"/>
  <c r="AN59" i="12"/>
  <c r="AX59" i="12" s="1"/>
  <c r="AN59" i="11"/>
  <c r="AX59" i="11" s="1"/>
  <c r="AN59" i="10"/>
  <c r="AX59" i="10" s="1"/>
  <c r="AN59" i="9"/>
  <c r="AX59" i="9" s="1"/>
  <c r="AN59" i="8"/>
  <c r="AX59" i="8" s="1"/>
  <c r="AN59" i="7"/>
  <c r="AX59" i="7" s="1"/>
  <c r="AN59" i="5"/>
  <c r="AX59" i="5" s="1"/>
  <c r="AN59" i="2"/>
  <c r="AX59" i="2" s="1"/>
  <c r="AN59" i="6"/>
  <c r="AX59" i="6" s="1"/>
  <c r="AT58" i="1"/>
  <c r="AH58" i="13"/>
  <c r="AR58" i="13" s="1"/>
  <c r="AH58" i="14"/>
  <c r="AR58" i="14" s="1"/>
  <c r="AH58" i="12"/>
  <c r="AR58" i="12" s="1"/>
  <c r="AH58" i="10"/>
  <c r="AR58" i="10" s="1"/>
  <c r="AH58" i="11"/>
  <c r="AR58" i="11" s="1"/>
  <c r="AH58" i="8"/>
  <c r="AR58" i="8" s="1"/>
  <c r="AH58" i="9"/>
  <c r="AR58" i="9" s="1"/>
  <c r="AR58" i="6"/>
  <c r="AH58" i="5"/>
  <c r="AR58" i="5" s="1"/>
  <c r="AH58" i="2"/>
  <c r="AR58" i="2" s="1"/>
  <c r="AH58" i="7"/>
  <c r="AR58" i="7" s="1"/>
  <c r="BB19" i="1"/>
  <c r="AP19" i="14"/>
  <c r="AZ19" i="14" s="1"/>
  <c r="AP19" i="12"/>
  <c r="AZ19" i="12" s="1"/>
  <c r="AP19" i="13"/>
  <c r="AZ19" i="13" s="1"/>
  <c r="AP19" i="11"/>
  <c r="AZ19" i="11" s="1"/>
  <c r="AP19" i="10"/>
  <c r="AZ19" i="10" s="1"/>
  <c r="AP19" i="9"/>
  <c r="AZ19" i="9" s="1"/>
  <c r="AP19" i="8"/>
  <c r="AZ19" i="8" s="1"/>
  <c r="AP19" i="7"/>
  <c r="AZ19" i="7" s="1"/>
  <c r="AP19" i="2"/>
  <c r="AZ19" i="2" s="1"/>
  <c r="AP19" i="5"/>
  <c r="AZ19" i="5" s="1"/>
  <c r="AP19" i="6"/>
  <c r="AZ19" i="6" s="1"/>
  <c r="AZ18" i="1"/>
  <c r="AN18" i="14"/>
  <c r="AX18" i="14" s="1"/>
  <c r="AN18" i="11"/>
  <c r="AX18" i="11" s="1"/>
  <c r="AN18" i="13"/>
  <c r="AX18" i="13" s="1"/>
  <c r="AN18" i="12"/>
  <c r="AX18" i="12" s="1"/>
  <c r="AN18" i="8"/>
  <c r="AX18" i="8" s="1"/>
  <c r="AN18" i="5"/>
  <c r="AX18" i="5" s="1"/>
  <c r="AN18" i="10"/>
  <c r="AX18" i="10" s="1"/>
  <c r="AN18" i="9"/>
  <c r="AX18" i="9" s="1"/>
  <c r="AN18" i="7"/>
  <c r="AX18" i="7" s="1"/>
  <c r="AN18" i="6"/>
  <c r="AX18" i="6" s="1"/>
  <c r="AN18" i="2"/>
  <c r="AX18" i="2" s="1"/>
  <c r="AY85" i="1"/>
  <c r="AM85" i="14"/>
  <c r="AW85" i="14" s="1"/>
  <c r="AM85" i="13"/>
  <c r="AW85" i="13" s="1"/>
  <c r="AM85" i="12"/>
  <c r="AW85" i="12" s="1"/>
  <c r="AM85" i="11"/>
  <c r="AW85" i="11" s="1"/>
  <c r="AM85" i="10"/>
  <c r="AW85" i="10" s="1"/>
  <c r="AM85" i="9"/>
  <c r="AW85" i="9" s="1"/>
  <c r="AM85" i="8"/>
  <c r="AW85" i="8" s="1"/>
  <c r="AW85" i="7"/>
  <c r="AM85" i="6"/>
  <c r="AW85" i="6" s="1"/>
  <c r="AM85" i="5"/>
  <c r="AW85" i="5" s="1"/>
  <c r="AM85" i="2"/>
  <c r="AW85" i="2" s="1"/>
  <c r="AZ29" i="1"/>
  <c r="AN29" i="14"/>
  <c r="AX29" i="14" s="1"/>
  <c r="AN29" i="13"/>
  <c r="AX29" i="13" s="1"/>
  <c r="AN29" i="12"/>
  <c r="AX29" i="12" s="1"/>
  <c r="AN29" i="11"/>
  <c r="AX29" i="11" s="1"/>
  <c r="AN29" i="10"/>
  <c r="AX29" i="10" s="1"/>
  <c r="AN29" i="8"/>
  <c r="AX29" i="8" s="1"/>
  <c r="AN29" i="7"/>
  <c r="AX29" i="7" s="1"/>
  <c r="AN29" i="6"/>
  <c r="AX29" i="6" s="1"/>
  <c r="AN29" i="2"/>
  <c r="AX29" i="2" s="1"/>
  <c r="AN29" i="5"/>
  <c r="AX29" i="5" s="1"/>
  <c r="AN29" i="9"/>
  <c r="AX29" i="9" s="1"/>
  <c r="BB28" i="1"/>
  <c r="AP28" i="14"/>
  <c r="AZ28" i="14" s="1"/>
  <c r="AP28" i="13"/>
  <c r="AZ28" i="13" s="1"/>
  <c r="AP28" i="12"/>
  <c r="AZ28" i="12" s="1"/>
  <c r="AP28" i="11"/>
  <c r="AZ28" i="11" s="1"/>
  <c r="AP28" i="10"/>
  <c r="AZ28" i="10" s="1"/>
  <c r="AP28" i="9"/>
  <c r="AZ28" i="9" s="1"/>
  <c r="AP28" i="8"/>
  <c r="AZ28" i="8" s="1"/>
  <c r="AP28" i="7"/>
  <c r="AZ28" i="7" s="1"/>
  <c r="AP28" i="5"/>
  <c r="AZ28" i="5" s="1"/>
  <c r="AP28" i="2"/>
  <c r="AZ28" i="2" s="1"/>
  <c r="AP28" i="6"/>
  <c r="AZ28" i="6" s="1"/>
  <c r="AT28" i="1"/>
  <c r="AH28" i="14"/>
  <c r="AR28" i="14" s="1"/>
  <c r="AH28" i="13"/>
  <c r="AR28" i="13" s="1"/>
  <c r="AH28" i="12"/>
  <c r="AR28" i="12" s="1"/>
  <c r="AH28" i="11"/>
  <c r="AR28" i="11" s="1"/>
  <c r="AH28" i="10"/>
  <c r="AR28" i="10" s="1"/>
  <c r="AH28" i="9"/>
  <c r="AR28" i="9" s="1"/>
  <c r="AH28" i="8"/>
  <c r="AR28" i="8" s="1"/>
  <c r="AH28" i="7"/>
  <c r="AR28" i="7" s="1"/>
  <c r="AH28" i="5"/>
  <c r="AR28" i="5" s="1"/>
  <c r="AH28" i="2"/>
  <c r="AR28" i="2" s="1"/>
  <c r="AR28" i="6"/>
  <c r="AV27" i="1"/>
  <c r="AJ27" i="14"/>
  <c r="AT27" i="14" s="1"/>
  <c r="AJ27" i="13"/>
  <c r="AT27" i="13" s="1"/>
  <c r="AJ27" i="10"/>
  <c r="AT27" i="10" s="1"/>
  <c r="AJ27" i="12"/>
  <c r="AT27" i="12" s="1"/>
  <c r="AJ27" i="11"/>
  <c r="AT27" i="11" s="1"/>
  <c r="AJ27" i="9"/>
  <c r="AT27" i="9" s="1"/>
  <c r="AJ27" i="8"/>
  <c r="AT27" i="8" s="1"/>
  <c r="AJ27" i="6"/>
  <c r="AT27" i="6" s="1"/>
  <c r="AJ27" i="5"/>
  <c r="AT27" i="5" s="1"/>
  <c r="AJ27" i="2"/>
  <c r="AT27" i="2" s="1"/>
  <c r="AJ27" i="7"/>
  <c r="AT27" i="7" s="1"/>
  <c r="AX26" i="1"/>
  <c r="AL26" i="14"/>
  <c r="AV26" i="14" s="1"/>
  <c r="AL26" i="13"/>
  <c r="AV26" i="13" s="1"/>
  <c r="AL26" i="11"/>
  <c r="AV26" i="11" s="1"/>
  <c r="AL26" i="12"/>
  <c r="AV26" i="12" s="1"/>
  <c r="AL26" i="10"/>
  <c r="AV26" i="10" s="1"/>
  <c r="AL26" i="9"/>
  <c r="AV26" i="9" s="1"/>
  <c r="AL26" i="8"/>
  <c r="AV26" i="8" s="1"/>
  <c r="AL26" i="2"/>
  <c r="AV26" i="2" s="1"/>
  <c r="AL26" i="7"/>
  <c r="AV26" i="7" s="1"/>
  <c r="AL26" i="6"/>
  <c r="AV26" i="6" s="1"/>
  <c r="AL26" i="5"/>
  <c r="AV26" i="5" s="1"/>
  <c r="AZ25" i="1"/>
  <c r="AN25" i="14"/>
  <c r="AX25" i="14" s="1"/>
  <c r="AN25" i="13"/>
  <c r="AX25" i="13" s="1"/>
  <c r="AN25" i="12"/>
  <c r="AX25" i="12" s="1"/>
  <c r="AN25" i="11"/>
  <c r="AX25" i="11" s="1"/>
  <c r="AN25" i="10"/>
  <c r="AX25" i="10" s="1"/>
  <c r="AN25" i="8"/>
  <c r="AX25" i="8" s="1"/>
  <c r="AN25" i="7"/>
  <c r="AX25" i="7" s="1"/>
  <c r="AN25" i="6"/>
  <c r="AX25" i="6" s="1"/>
  <c r="AN25" i="2"/>
  <c r="AX25" i="2" s="1"/>
  <c r="AN25" i="9"/>
  <c r="AX25" i="9" s="1"/>
  <c r="AN25" i="5"/>
  <c r="AX25" i="5" s="1"/>
  <c r="BB67" i="1"/>
  <c r="AP67" i="14"/>
  <c r="AZ67" i="14" s="1"/>
  <c r="AP67" i="13"/>
  <c r="AZ67" i="13" s="1"/>
  <c r="AP67" i="12"/>
  <c r="AZ67" i="12" s="1"/>
  <c r="AP67" i="11"/>
  <c r="AZ67" i="11" s="1"/>
  <c r="AP67" i="10"/>
  <c r="AZ67" i="10" s="1"/>
  <c r="AP67" i="9"/>
  <c r="AZ67" i="9" s="1"/>
  <c r="AP67" i="8"/>
  <c r="AZ67" i="8" s="1"/>
  <c r="AP67" i="6"/>
  <c r="AZ67" i="6" s="1"/>
  <c r="AP67" i="7"/>
  <c r="AZ67" i="7" s="1"/>
  <c r="AP67" i="5"/>
  <c r="AZ67" i="5" s="1"/>
  <c r="AP67" i="2"/>
  <c r="AZ67" i="2" s="1"/>
  <c r="AX67" i="1"/>
  <c r="AL67" i="14"/>
  <c r="AV67" i="14" s="1"/>
  <c r="AL67" i="13"/>
  <c r="AV67" i="13" s="1"/>
  <c r="AL67" i="12"/>
  <c r="AV67" i="12" s="1"/>
  <c r="AL67" i="11"/>
  <c r="AV67" i="11" s="1"/>
  <c r="AL67" i="10"/>
  <c r="AV67" i="10" s="1"/>
  <c r="AL67" i="6"/>
  <c r="AV67" i="6" s="1"/>
  <c r="AL67" i="8"/>
  <c r="AV67" i="8" s="1"/>
  <c r="AL67" i="9"/>
  <c r="AV67" i="9" s="1"/>
  <c r="AL67" i="5"/>
  <c r="AV67" i="5" s="1"/>
  <c r="AL67" i="2"/>
  <c r="AV67" i="2" s="1"/>
  <c r="AL67" i="7"/>
  <c r="AV67" i="7" s="1"/>
  <c r="AZ66" i="1"/>
  <c r="AN66" i="14"/>
  <c r="AX66" i="14" s="1"/>
  <c r="AN66" i="13"/>
  <c r="AX66" i="13" s="1"/>
  <c r="AN66" i="12"/>
  <c r="AX66" i="12" s="1"/>
  <c r="AN66" i="10"/>
  <c r="AX66" i="10" s="1"/>
  <c r="AN66" i="9"/>
  <c r="AX66" i="9" s="1"/>
  <c r="AN66" i="7"/>
  <c r="AX66" i="7" s="1"/>
  <c r="AN66" i="8"/>
  <c r="AX66" i="8" s="1"/>
  <c r="AN66" i="6"/>
  <c r="AX66" i="6" s="1"/>
  <c r="AN66" i="11"/>
  <c r="AX66" i="11" s="1"/>
  <c r="AN66" i="5"/>
  <c r="AX66" i="5" s="1"/>
  <c r="AN66" i="2"/>
  <c r="AX66" i="2" s="1"/>
  <c r="BB65" i="1"/>
  <c r="AP65" i="14"/>
  <c r="AZ65" i="14" s="1"/>
  <c r="AP65" i="13"/>
  <c r="AZ65" i="13" s="1"/>
  <c r="AP65" i="12"/>
  <c r="AZ65" i="12" s="1"/>
  <c r="AP65" i="10"/>
  <c r="AZ65" i="10" s="1"/>
  <c r="AP65" i="11"/>
  <c r="AZ65" i="11" s="1"/>
  <c r="AP65" i="7"/>
  <c r="AZ65" i="7" s="1"/>
  <c r="AP65" i="9"/>
  <c r="AZ65" i="9" s="1"/>
  <c r="AP65" i="6"/>
  <c r="AZ65" i="6" s="1"/>
  <c r="AP65" i="5"/>
  <c r="AZ65" i="5" s="1"/>
  <c r="AP65" i="2"/>
  <c r="AZ65" i="2" s="1"/>
  <c r="AP65" i="8"/>
  <c r="AZ65" i="8" s="1"/>
  <c r="AT65" i="1"/>
  <c r="AH65" i="14"/>
  <c r="AR65" i="14" s="1"/>
  <c r="AH65" i="13"/>
  <c r="AR65" i="13" s="1"/>
  <c r="AH65" i="12"/>
  <c r="AR65" i="12" s="1"/>
  <c r="AH65" i="10"/>
  <c r="AR65" i="10" s="1"/>
  <c r="AH65" i="11"/>
  <c r="AR65" i="11" s="1"/>
  <c r="AH65" i="8"/>
  <c r="AR65" i="8" s="1"/>
  <c r="AH65" i="9"/>
  <c r="AR65" i="9" s="1"/>
  <c r="AH65" i="7"/>
  <c r="AR65" i="7" s="1"/>
  <c r="AR65" i="6"/>
  <c r="AH65" i="5"/>
  <c r="AR65" i="5" s="1"/>
  <c r="AH65" i="2"/>
  <c r="AR65" i="2" s="1"/>
  <c r="AV64" i="1"/>
  <c r="AJ64" i="14"/>
  <c r="AT64" i="14" s="1"/>
  <c r="AJ64" i="13"/>
  <c r="AT64" i="13" s="1"/>
  <c r="AJ64" i="12"/>
  <c r="AT64" i="12" s="1"/>
  <c r="AJ64" i="10"/>
  <c r="AT64" i="10" s="1"/>
  <c r="AJ64" i="11"/>
  <c r="AT64" i="11" s="1"/>
  <c r="AJ64" i="9"/>
  <c r="AT64" i="9" s="1"/>
  <c r="AJ64" i="7"/>
  <c r="AT64" i="7" s="1"/>
  <c r="AJ64" i="8"/>
  <c r="AT64" i="8" s="1"/>
  <c r="AJ64" i="5"/>
  <c r="AT64" i="5" s="1"/>
  <c r="AJ64" i="6"/>
  <c r="AT64" i="6" s="1"/>
  <c r="AJ64" i="2"/>
  <c r="AT64" i="2" s="1"/>
  <c r="AX63" i="1"/>
  <c r="AL63" i="14"/>
  <c r="AV63" i="14" s="1"/>
  <c r="AL63" i="13"/>
  <c r="AV63" i="13" s="1"/>
  <c r="AL63" i="12"/>
  <c r="AV63" i="12" s="1"/>
  <c r="AL63" i="11"/>
  <c r="AV63" i="11" s="1"/>
  <c r="AL63" i="10"/>
  <c r="AV63" i="10" s="1"/>
  <c r="AL63" i="6"/>
  <c r="AV63" i="6" s="1"/>
  <c r="AL63" i="9"/>
  <c r="AV63" i="9" s="1"/>
  <c r="AL63" i="5"/>
  <c r="AV63" i="5" s="1"/>
  <c r="AL63" i="8"/>
  <c r="AV63" i="8" s="1"/>
  <c r="AL63" i="7"/>
  <c r="AV63" i="7" s="1"/>
  <c r="AL63" i="2"/>
  <c r="AV63" i="2" s="1"/>
  <c r="AZ62" i="1"/>
  <c r="AN62" i="14"/>
  <c r="AX62" i="14" s="1"/>
  <c r="AN62" i="13"/>
  <c r="AX62" i="13" s="1"/>
  <c r="AN62" i="12"/>
  <c r="AX62" i="12" s="1"/>
  <c r="AN62" i="11"/>
  <c r="AX62" i="11" s="1"/>
  <c r="AN62" i="10"/>
  <c r="AX62" i="10" s="1"/>
  <c r="AN62" i="9"/>
  <c r="AX62" i="9" s="1"/>
  <c r="AN62" i="7"/>
  <c r="AX62" i="7" s="1"/>
  <c r="AN62" i="6"/>
  <c r="AX62" i="6" s="1"/>
  <c r="AN62" i="5"/>
  <c r="AX62" i="5" s="1"/>
  <c r="AN62" i="8"/>
  <c r="AX62" i="8" s="1"/>
  <c r="AN62" i="2"/>
  <c r="AX62" i="2" s="1"/>
  <c r="BB61" i="1"/>
  <c r="AP61" i="14"/>
  <c r="AZ61" i="14" s="1"/>
  <c r="AP61" i="13"/>
  <c r="AZ61" i="13" s="1"/>
  <c r="AP61" i="12"/>
  <c r="AZ61" i="12" s="1"/>
  <c r="AP61" i="11"/>
  <c r="AZ61" i="11" s="1"/>
  <c r="AP61" i="10"/>
  <c r="AZ61" i="10" s="1"/>
  <c r="AP61" i="9"/>
  <c r="AZ61" i="9" s="1"/>
  <c r="AP61" i="7"/>
  <c r="AZ61" i="7" s="1"/>
  <c r="AP61" i="6"/>
  <c r="AZ61" i="6" s="1"/>
  <c r="AP61" i="5"/>
  <c r="AZ61" i="5" s="1"/>
  <c r="AP61" i="8"/>
  <c r="AZ61" i="8" s="1"/>
  <c r="AP61" i="2"/>
  <c r="AZ61" i="2" s="1"/>
  <c r="AT61" i="1"/>
  <c r="AH61" i="14"/>
  <c r="AR61" i="14" s="1"/>
  <c r="AH61" i="13"/>
  <c r="AR61" i="13" s="1"/>
  <c r="AH61" i="11"/>
  <c r="AR61" i="11" s="1"/>
  <c r="AH61" i="10"/>
  <c r="AR61" i="10" s="1"/>
  <c r="AH61" i="12"/>
  <c r="AR61" i="12" s="1"/>
  <c r="AH61" i="9"/>
  <c r="AR61" i="9" s="1"/>
  <c r="AR61" i="6"/>
  <c r="AH61" i="5"/>
  <c r="AR61" i="5" s="1"/>
  <c r="AH61" i="7"/>
  <c r="AR61" i="7" s="1"/>
  <c r="AH61" i="2"/>
  <c r="AR61" i="2" s="1"/>
  <c r="AH61" i="8"/>
  <c r="AR61" i="8" s="1"/>
  <c r="AV60" i="1"/>
  <c r="AJ60" i="14"/>
  <c r="AT60" i="14" s="1"/>
  <c r="AJ60" i="13"/>
  <c r="AT60" i="13" s="1"/>
  <c r="AJ60" i="12"/>
  <c r="AT60" i="12" s="1"/>
  <c r="AJ60" i="11"/>
  <c r="AT60" i="11" s="1"/>
  <c r="AJ60" i="10"/>
  <c r="AT60" i="10" s="1"/>
  <c r="AJ60" i="9"/>
  <c r="AT60" i="9" s="1"/>
  <c r="AJ60" i="7"/>
  <c r="AT60" i="7" s="1"/>
  <c r="AJ60" i="6"/>
  <c r="AT60" i="6" s="1"/>
  <c r="AJ60" i="8"/>
  <c r="AT60" i="8" s="1"/>
  <c r="AJ60" i="5"/>
  <c r="AT60" i="5" s="1"/>
  <c r="AJ60" i="2"/>
  <c r="AT60" i="2" s="1"/>
  <c r="AX59" i="1"/>
  <c r="AL59" i="14"/>
  <c r="AV59" i="14" s="1"/>
  <c r="AL59" i="13"/>
  <c r="AV59" i="13" s="1"/>
  <c r="AL59" i="12"/>
  <c r="AV59" i="12" s="1"/>
  <c r="AL59" i="11"/>
  <c r="AV59" i="11" s="1"/>
  <c r="AL59" i="10"/>
  <c r="AV59" i="10" s="1"/>
  <c r="AL59" i="9"/>
  <c r="AV59" i="9" s="1"/>
  <c r="AL59" i="6"/>
  <c r="AV59" i="6" s="1"/>
  <c r="AL59" i="8"/>
  <c r="AV59" i="8" s="1"/>
  <c r="AL59" i="7"/>
  <c r="AV59" i="7" s="1"/>
  <c r="AL59" i="5"/>
  <c r="AV59" i="5" s="1"/>
  <c r="AL59" i="2"/>
  <c r="AV59" i="2" s="1"/>
  <c r="AZ58" i="1"/>
  <c r="AN58" i="14"/>
  <c r="AX58" i="14" s="1"/>
  <c r="AN58" i="13"/>
  <c r="AX58" i="13" s="1"/>
  <c r="AN58" i="11"/>
  <c r="AX58" i="11" s="1"/>
  <c r="AN58" i="9"/>
  <c r="AX58" i="9" s="1"/>
  <c r="AN58" i="10"/>
  <c r="AX58" i="10" s="1"/>
  <c r="AN58" i="12"/>
  <c r="AX58" i="12" s="1"/>
  <c r="AN58" i="7"/>
  <c r="AX58" i="7" s="1"/>
  <c r="AN58" i="8"/>
  <c r="AX58" i="8" s="1"/>
  <c r="AN58" i="5"/>
  <c r="AX58" i="5" s="1"/>
  <c r="AN58" i="6"/>
  <c r="AX58" i="6" s="1"/>
  <c r="AN58" i="2"/>
  <c r="AX58" i="2" s="1"/>
  <c r="BB20" i="1"/>
  <c r="AP20" i="14"/>
  <c r="AZ20" i="14" s="1"/>
  <c r="AP20" i="11"/>
  <c r="AZ20" i="11" s="1"/>
  <c r="AP20" i="12"/>
  <c r="AZ20" i="12" s="1"/>
  <c r="AP20" i="13"/>
  <c r="AZ20" i="13" s="1"/>
  <c r="AP20" i="10"/>
  <c r="AZ20" i="10" s="1"/>
  <c r="AP20" i="9"/>
  <c r="AZ20" i="9" s="1"/>
  <c r="AP20" i="8"/>
  <c r="AZ20" i="8" s="1"/>
  <c r="AP20" i="5"/>
  <c r="AZ20" i="5" s="1"/>
  <c r="AP20" i="2"/>
  <c r="AZ20" i="2" s="1"/>
  <c r="AP20" i="7"/>
  <c r="AZ20" i="7" s="1"/>
  <c r="AP20" i="6"/>
  <c r="AZ20" i="6" s="1"/>
  <c r="AT20" i="1"/>
  <c r="AH20" i="14"/>
  <c r="AR20" i="14" s="1"/>
  <c r="AH20" i="13"/>
  <c r="AR20" i="13" s="1"/>
  <c r="AH20" i="11"/>
  <c r="AR20" i="11" s="1"/>
  <c r="AH20" i="12"/>
  <c r="AR20" i="12" s="1"/>
  <c r="AH20" i="10"/>
  <c r="AR20" i="10" s="1"/>
  <c r="AH20" i="9"/>
  <c r="AR20" i="9" s="1"/>
  <c r="AH20" i="8"/>
  <c r="AR20" i="8" s="1"/>
  <c r="AH20" i="5"/>
  <c r="AR20" i="5" s="1"/>
  <c r="AH20" i="2"/>
  <c r="AR20" i="2" s="1"/>
  <c r="AH20" i="7"/>
  <c r="AR20" i="7" s="1"/>
  <c r="AR20" i="6"/>
  <c r="AV19" i="1"/>
  <c r="AJ19" i="14"/>
  <c r="AT19" i="14" s="1"/>
  <c r="AJ19" i="13"/>
  <c r="AT19" i="13" s="1"/>
  <c r="AJ19" i="11"/>
  <c r="AT19" i="11" s="1"/>
  <c r="AJ19" i="12"/>
  <c r="AT19" i="12" s="1"/>
  <c r="AJ19" i="10"/>
  <c r="AT19" i="10" s="1"/>
  <c r="AJ19" i="9"/>
  <c r="AT19" i="9" s="1"/>
  <c r="AJ19" i="6"/>
  <c r="AT19" i="6" s="1"/>
  <c r="AJ19" i="5"/>
  <c r="AT19" i="5" s="1"/>
  <c r="AJ19" i="2"/>
  <c r="AT19" i="2" s="1"/>
  <c r="AJ19" i="8"/>
  <c r="AT19" i="8" s="1"/>
  <c r="AJ19" i="7"/>
  <c r="AT19" i="7" s="1"/>
  <c r="AX18" i="1"/>
  <c r="AL18" i="14"/>
  <c r="AV18" i="14" s="1"/>
  <c r="AL18" i="13"/>
  <c r="AV18" i="13" s="1"/>
  <c r="AL18" i="12"/>
  <c r="AV18" i="12" s="1"/>
  <c r="AL18" i="11"/>
  <c r="AV18" i="11" s="1"/>
  <c r="AL18" i="10"/>
  <c r="AV18" i="10" s="1"/>
  <c r="AL18" i="9"/>
  <c r="AV18" i="9" s="1"/>
  <c r="AL18" i="8"/>
  <c r="AV18" i="8" s="1"/>
  <c r="AL18" i="2"/>
  <c r="AV18" i="2" s="1"/>
  <c r="AL18" i="6"/>
  <c r="AV18" i="6" s="1"/>
  <c r="AL18" i="5"/>
  <c r="AV18" i="5" s="1"/>
  <c r="AL18" i="7"/>
  <c r="AV18" i="7" s="1"/>
  <c r="BA85" i="1"/>
  <c r="AO85" i="14"/>
  <c r="AY85" i="14" s="1"/>
  <c r="AO85" i="13"/>
  <c r="AY85" i="13" s="1"/>
  <c r="AO85" i="12"/>
  <c r="AY85" i="12" s="1"/>
  <c r="AO85" i="11"/>
  <c r="AY85" i="11" s="1"/>
  <c r="AO85" i="10"/>
  <c r="AY85" i="10" s="1"/>
  <c r="AO85" i="9"/>
  <c r="AY85" i="9" s="1"/>
  <c r="AO85" i="8"/>
  <c r="AY85" i="8" s="1"/>
  <c r="AY85" i="7"/>
  <c r="AO85" i="5"/>
  <c r="AY85" i="5" s="1"/>
  <c r="AO85" i="6"/>
  <c r="AY85" i="6" s="1"/>
  <c r="AO85" i="2"/>
  <c r="AY85" i="2" s="1"/>
  <c r="AW85" i="1"/>
  <c r="AK85" i="14"/>
  <c r="AU85" i="14" s="1"/>
  <c r="AK85" i="13"/>
  <c r="AU85" i="13" s="1"/>
  <c r="AK85" i="12"/>
  <c r="AU85" i="12" s="1"/>
  <c r="AK85" i="11"/>
  <c r="AU85" i="11" s="1"/>
  <c r="AK85" i="10"/>
  <c r="AU85" i="10" s="1"/>
  <c r="AK85" i="9"/>
  <c r="AU85" i="9" s="1"/>
  <c r="AK85" i="8"/>
  <c r="AU85" i="8" s="1"/>
  <c r="AU85" i="7"/>
  <c r="AK85" i="5"/>
  <c r="AU85" i="5" s="1"/>
  <c r="AK85" i="6"/>
  <c r="AU85" i="6" s="1"/>
  <c r="AK85" i="2"/>
  <c r="AU85" i="2" s="1"/>
  <c r="AY84" i="1"/>
  <c r="AM84" i="14"/>
  <c r="AW84" i="14" s="1"/>
  <c r="AM84" i="13"/>
  <c r="AW84" i="13" s="1"/>
  <c r="AM84" i="12"/>
  <c r="AW84" i="12" s="1"/>
  <c r="AM84" i="11"/>
  <c r="AW84" i="11" s="1"/>
  <c r="AM84" i="10"/>
  <c r="AW84" i="10" s="1"/>
  <c r="AM84" i="9"/>
  <c r="AW84" i="9" s="1"/>
  <c r="AM84" i="8"/>
  <c r="AW84" i="8" s="1"/>
  <c r="AW84" i="7"/>
  <c r="AM84" i="5"/>
  <c r="AW84" i="5" s="1"/>
  <c r="AM84" i="6"/>
  <c r="AW84" i="6" s="1"/>
  <c r="AM84" i="2"/>
  <c r="AW84" i="2" s="1"/>
  <c r="BC29" i="1"/>
  <c r="AQ29" i="14"/>
  <c r="BA29" i="14" s="1"/>
  <c r="AQ29" i="13"/>
  <c r="BA29" i="13" s="1"/>
  <c r="AQ29" i="11"/>
  <c r="BA29" i="11" s="1"/>
  <c r="AQ29" i="9"/>
  <c r="BA29" i="9" s="1"/>
  <c r="AQ29" i="12"/>
  <c r="BA29" i="12" s="1"/>
  <c r="AQ29" i="10"/>
  <c r="BA29" i="10" s="1"/>
  <c r="AQ29" i="8"/>
  <c r="BA29" i="8" s="1"/>
  <c r="AQ29" i="5"/>
  <c r="BA29" i="5" s="1"/>
  <c r="AQ29" i="2"/>
  <c r="BA29" i="2" s="1"/>
  <c r="AQ29" i="7"/>
  <c r="BA29" i="7" s="1"/>
  <c r="AQ29" i="6"/>
  <c r="BA29" i="6" s="1"/>
  <c r="AY29" i="1"/>
  <c r="AM29" i="14"/>
  <c r="AW29" i="14" s="1"/>
  <c r="AM29" i="13"/>
  <c r="AW29" i="13" s="1"/>
  <c r="AM29" i="11"/>
  <c r="AW29" i="11" s="1"/>
  <c r="AM29" i="9"/>
  <c r="AW29" i="9" s="1"/>
  <c r="AM29" i="12"/>
  <c r="AW29" i="12" s="1"/>
  <c r="AM29" i="10"/>
  <c r="AW29" i="10" s="1"/>
  <c r="AM29" i="8"/>
  <c r="AW29" i="8" s="1"/>
  <c r="AM29" i="5"/>
  <c r="AW29" i="5" s="1"/>
  <c r="AM29" i="2"/>
  <c r="AW29" i="2" s="1"/>
  <c r="AM29" i="7"/>
  <c r="AW29" i="7" s="1"/>
  <c r="AM29" i="6"/>
  <c r="AW29" i="6" s="1"/>
  <c r="AU29" i="1"/>
  <c r="AI29" i="14"/>
  <c r="AS29" i="14" s="1"/>
  <c r="AI29" i="11"/>
  <c r="AS29" i="11" s="1"/>
  <c r="AI29" i="9"/>
  <c r="AS29" i="9" s="1"/>
  <c r="AI29" i="10"/>
  <c r="AS29" i="10" s="1"/>
  <c r="AI29" i="13"/>
  <c r="AS29" i="13" s="1"/>
  <c r="AI29" i="12"/>
  <c r="AS29" i="12" s="1"/>
  <c r="AI29" i="8"/>
  <c r="AS29" i="8" s="1"/>
  <c r="AI29" i="5"/>
  <c r="AS29" i="5" s="1"/>
  <c r="AI29" i="2"/>
  <c r="AS29" i="2" s="1"/>
  <c r="AI29" i="7"/>
  <c r="AS29" i="7" s="1"/>
  <c r="AS29" i="6"/>
  <c r="BA28" i="1"/>
  <c r="AO28" i="14"/>
  <c r="AY28" i="14" s="1"/>
  <c r="AO28" i="13"/>
  <c r="AY28" i="13" s="1"/>
  <c r="AO28" i="12"/>
  <c r="AY28" i="12" s="1"/>
  <c r="AO28" i="10"/>
  <c r="AY28" i="10" s="1"/>
  <c r="AO28" i="11"/>
  <c r="AY28" i="11" s="1"/>
  <c r="AO28" i="9"/>
  <c r="AY28" i="9" s="1"/>
  <c r="AO28" i="8"/>
  <c r="AY28" i="8" s="1"/>
  <c r="AO28" i="6"/>
  <c r="AY28" i="6" s="1"/>
  <c r="AO28" i="2"/>
  <c r="AY28" i="2" s="1"/>
  <c r="AO28" i="7"/>
  <c r="AY28" i="7" s="1"/>
  <c r="AO28" i="5"/>
  <c r="AY28" i="5" s="1"/>
  <c r="AW28" i="1"/>
  <c r="AK28" i="14"/>
  <c r="AU28" i="14" s="1"/>
  <c r="AK28" i="13"/>
  <c r="AU28" i="13" s="1"/>
  <c r="AK28" i="12"/>
  <c r="AU28" i="12" s="1"/>
  <c r="AK28" i="11"/>
  <c r="AU28" i="11" s="1"/>
  <c r="AK28" i="10"/>
  <c r="AU28" i="10" s="1"/>
  <c r="AK28" i="9"/>
  <c r="AU28" i="9" s="1"/>
  <c r="AK28" i="6"/>
  <c r="AU28" i="6" s="1"/>
  <c r="AK28" i="2"/>
  <c r="AU28" i="2" s="1"/>
  <c r="AK28" i="8"/>
  <c r="AU28" i="8" s="1"/>
  <c r="AK28" i="7"/>
  <c r="AU28" i="7" s="1"/>
  <c r="AK28" i="5"/>
  <c r="AU28" i="5" s="1"/>
  <c r="BC27" i="1"/>
  <c r="AQ27" i="14"/>
  <c r="BA27" i="14" s="1"/>
  <c r="AQ27" i="13"/>
  <c r="BA27" i="13" s="1"/>
  <c r="AQ27" i="12"/>
  <c r="BA27" i="12" s="1"/>
  <c r="AQ27" i="11"/>
  <c r="BA27" i="11" s="1"/>
  <c r="AQ27" i="9"/>
  <c r="BA27" i="9" s="1"/>
  <c r="AQ27" i="10"/>
  <c r="BA27" i="10" s="1"/>
  <c r="AQ27" i="8"/>
  <c r="BA27" i="8" s="1"/>
  <c r="AQ27" i="7"/>
  <c r="BA27" i="7" s="1"/>
  <c r="AQ27" i="2"/>
  <c r="BA27" i="2" s="1"/>
  <c r="AQ27" i="6"/>
  <c r="BA27" i="6" s="1"/>
  <c r="AQ27" i="5"/>
  <c r="BA27" i="5" s="1"/>
  <c r="AY27" i="1"/>
  <c r="AM27" i="14"/>
  <c r="AW27" i="14" s="1"/>
  <c r="AM27" i="13"/>
  <c r="AW27" i="13" s="1"/>
  <c r="AM27" i="12"/>
  <c r="AW27" i="12" s="1"/>
  <c r="AM27" i="11"/>
  <c r="AW27" i="11" s="1"/>
  <c r="AM27" i="9"/>
  <c r="AW27" i="9" s="1"/>
  <c r="AM27" i="10"/>
  <c r="AW27" i="10" s="1"/>
  <c r="AM27" i="8"/>
  <c r="AW27" i="8" s="1"/>
  <c r="AM27" i="7"/>
  <c r="AW27" i="7" s="1"/>
  <c r="AM27" i="2"/>
  <c r="AW27" i="2" s="1"/>
  <c r="AM27" i="6"/>
  <c r="AW27" i="6" s="1"/>
  <c r="AM27" i="5"/>
  <c r="AW27" i="5" s="1"/>
  <c r="AU27" i="1"/>
  <c r="AI27" i="14"/>
  <c r="AS27" i="14" s="1"/>
  <c r="AI27" i="13"/>
  <c r="AS27" i="13" s="1"/>
  <c r="AI27" i="12"/>
  <c r="AS27" i="12" s="1"/>
  <c r="AI27" i="11"/>
  <c r="AS27" i="11" s="1"/>
  <c r="AI27" i="9"/>
  <c r="AS27" i="9" s="1"/>
  <c r="AI27" i="10"/>
  <c r="AS27" i="10" s="1"/>
  <c r="AI27" i="8"/>
  <c r="AS27" i="8" s="1"/>
  <c r="AI27" i="7"/>
  <c r="AS27" i="7" s="1"/>
  <c r="AI27" i="2"/>
  <c r="AS27" i="2" s="1"/>
  <c r="AS27" i="6"/>
  <c r="AI27" i="5"/>
  <c r="AS27" i="5" s="1"/>
  <c r="BA26" i="1"/>
  <c r="AO26" i="14"/>
  <c r="AY26" i="14" s="1"/>
  <c r="AO26" i="12"/>
  <c r="AY26" i="12" s="1"/>
  <c r="AO26" i="13"/>
  <c r="AY26" i="13" s="1"/>
  <c r="AO26" i="10"/>
  <c r="AY26" i="10" s="1"/>
  <c r="AO26" i="11"/>
  <c r="AY26" i="11" s="1"/>
  <c r="AO26" i="8"/>
  <c r="AY26" i="8" s="1"/>
  <c r="AO26" i="9"/>
  <c r="AY26" i="9" s="1"/>
  <c r="AO26" i="6"/>
  <c r="AY26" i="6" s="1"/>
  <c r="AO26" i="2"/>
  <c r="AY26" i="2" s="1"/>
  <c r="AO26" i="7"/>
  <c r="AY26" i="7" s="1"/>
  <c r="AO26" i="5"/>
  <c r="AY26" i="5" s="1"/>
  <c r="AW26" i="1"/>
  <c r="AK26" i="14"/>
  <c r="AU26" i="14" s="1"/>
  <c r="AK26" i="13"/>
  <c r="AU26" i="13" s="1"/>
  <c r="AK26" i="12"/>
  <c r="AU26" i="12" s="1"/>
  <c r="AK26" i="11"/>
  <c r="AU26" i="11" s="1"/>
  <c r="AK26" i="10"/>
  <c r="AU26" i="10" s="1"/>
  <c r="AK26" i="9"/>
  <c r="AU26" i="9" s="1"/>
  <c r="AK26" i="8"/>
  <c r="AU26" i="8" s="1"/>
  <c r="AK26" i="6"/>
  <c r="AU26" i="6" s="1"/>
  <c r="AK26" i="2"/>
  <c r="AU26" i="2" s="1"/>
  <c r="AK26" i="5"/>
  <c r="AU26" i="5" s="1"/>
  <c r="AK26" i="7"/>
  <c r="AU26" i="7" s="1"/>
  <c r="BC25" i="1"/>
  <c r="AQ25" i="14"/>
  <c r="BA25" i="14" s="1"/>
  <c r="AQ25" i="13"/>
  <c r="BA25" i="13" s="1"/>
  <c r="AQ25" i="11"/>
  <c r="BA25" i="11" s="1"/>
  <c r="AQ25" i="9"/>
  <c r="BA25" i="9" s="1"/>
  <c r="AQ25" i="10"/>
  <c r="BA25" i="10" s="1"/>
  <c r="AQ25" i="12"/>
  <c r="BA25" i="12" s="1"/>
  <c r="AQ25" i="8"/>
  <c r="BA25" i="8" s="1"/>
  <c r="AQ25" i="5"/>
  <c r="BA25" i="5" s="1"/>
  <c r="AQ25" i="2"/>
  <c r="BA25" i="2" s="1"/>
  <c r="AQ25" i="7"/>
  <c r="BA25" i="7" s="1"/>
  <c r="AQ25" i="6"/>
  <c r="BA25" i="6" s="1"/>
  <c r="AY25" i="1"/>
  <c r="AM25" i="14"/>
  <c r="AW25" i="14" s="1"/>
  <c r="AM25" i="11"/>
  <c r="AW25" i="11" s="1"/>
  <c r="AM25" i="13"/>
  <c r="AW25" i="13" s="1"/>
  <c r="AM25" i="12"/>
  <c r="AW25" i="12" s="1"/>
  <c r="AM25" i="9"/>
  <c r="AW25" i="9" s="1"/>
  <c r="AM25" i="10"/>
  <c r="AW25" i="10" s="1"/>
  <c r="AM25" i="8"/>
  <c r="AW25" i="8" s="1"/>
  <c r="AM25" i="5"/>
  <c r="AW25" i="5" s="1"/>
  <c r="AM25" i="2"/>
  <c r="AW25" i="2" s="1"/>
  <c r="AM25" i="7"/>
  <c r="AW25" i="7" s="1"/>
  <c r="AM25" i="6"/>
  <c r="AW25" i="6" s="1"/>
  <c r="AU25" i="1"/>
  <c r="AI25" i="14"/>
  <c r="AS25" i="14" s="1"/>
  <c r="AI25" i="13"/>
  <c r="AS25" i="13" s="1"/>
  <c r="AI25" i="11"/>
  <c r="AS25" i="11" s="1"/>
  <c r="AI25" i="9"/>
  <c r="AS25" i="9" s="1"/>
  <c r="AI25" i="12"/>
  <c r="AS25" i="12" s="1"/>
  <c r="AI25" i="10"/>
  <c r="AS25" i="10" s="1"/>
  <c r="AI25" i="8"/>
  <c r="AS25" i="8" s="1"/>
  <c r="AI25" i="5"/>
  <c r="AS25" i="5" s="1"/>
  <c r="AI25" i="2"/>
  <c r="AS25" i="2" s="1"/>
  <c r="AI25" i="7"/>
  <c r="AS25" i="7" s="1"/>
  <c r="AS25" i="6"/>
  <c r="BA67" i="1"/>
  <c r="AO67" i="14"/>
  <c r="AY67" i="14" s="1"/>
  <c r="AO67" i="13"/>
  <c r="AY67" i="13" s="1"/>
  <c r="AO67" i="12"/>
  <c r="AY67" i="12" s="1"/>
  <c r="AO67" i="11"/>
  <c r="AY67" i="11" s="1"/>
  <c r="AO67" i="10"/>
  <c r="AY67" i="10" s="1"/>
  <c r="AO67" i="9"/>
  <c r="AY67" i="9" s="1"/>
  <c r="AO67" i="8"/>
  <c r="AY67" i="8" s="1"/>
  <c r="AO67" i="7"/>
  <c r="AY67" i="7" s="1"/>
  <c r="AO67" i="6"/>
  <c r="AY67" i="6" s="1"/>
  <c r="AO67" i="5"/>
  <c r="AY67" i="5" s="1"/>
  <c r="AO67" i="2"/>
  <c r="AY67" i="2" s="1"/>
  <c r="AW67" i="1"/>
  <c r="AK67" i="14"/>
  <c r="AU67" i="14" s="1"/>
  <c r="AK67" i="13"/>
  <c r="AU67" i="13" s="1"/>
  <c r="AK67" i="12"/>
  <c r="AU67" i="12" s="1"/>
  <c r="AK67" i="11"/>
  <c r="AU67" i="11" s="1"/>
  <c r="AK67" i="10"/>
  <c r="AU67" i="10" s="1"/>
  <c r="AK67" i="9"/>
  <c r="AU67" i="9" s="1"/>
  <c r="AK67" i="8"/>
  <c r="AU67" i="8" s="1"/>
  <c r="AK67" i="7"/>
  <c r="AU67" i="7" s="1"/>
  <c r="AK67" i="6"/>
  <c r="AU67" i="6" s="1"/>
  <c r="AK67" i="2"/>
  <c r="AU67" i="2" s="1"/>
  <c r="AK67" i="5"/>
  <c r="AU67" i="5" s="1"/>
  <c r="BC66" i="1"/>
  <c r="AQ66" i="14"/>
  <c r="BA66" i="14" s="1"/>
  <c r="AQ66" i="13"/>
  <c r="BA66" i="13" s="1"/>
  <c r="AQ66" i="12"/>
  <c r="BA66" i="12" s="1"/>
  <c r="AQ66" i="11"/>
  <c r="BA66" i="11" s="1"/>
  <c r="AQ66" i="10"/>
  <c r="BA66" i="10" s="1"/>
  <c r="AQ66" i="9"/>
  <c r="BA66" i="9" s="1"/>
  <c r="AQ66" i="8"/>
  <c r="BA66" i="8" s="1"/>
  <c r="AQ66" i="7"/>
  <c r="BA66" i="7" s="1"/>
  <c r="AQ66" i="6"/>
  <c r="BA66" i="6" s="1"/>
  <c r="AQ66" i="2"/>
  <c r="BA66" i="2" s="1"/>
  <c r="AQ66" i="5"/>
  <c r="BA66" i="5" s="1"/>
  <c r="AY66" i="1"/>
  <c r="AM66" i="14"/>
  <c r="AW66" i="14" s="1"/>
  <c r="AM66" i="13"/>
  <c r="AW66" i="13" s="1"/>
  <c r="AM66" i="12"/>
  <c r="AW66" i="12" s="1"/>
  <c r="AM66" i="11"/>
  <c r="AW66" i="11" s="1"/>
  <c r="AM66" i="10"/>
  <c r="AW66" i="10" s="1"/>
  <c r="AM66" i="9"/>
  <c r="AW66" i="9" s="1"/>
  <c r="AM66" i="8"/>
  <c r="AW66" i="8" s="1"/>
  <c r="AM66" i="7"/>
  <c r="AW66" i="7" s="1"/>
  <c r="AM66" i="6"/>
  <c r="AW66" i="6" s="1"/>
  <c r="AM66" i="5"/>
  <c r="AW66" i="5" s="1"/>
  <c r="AM66" i="2"/>
  <c r="AW66" i="2" s="1"/>
  <c r="AU66" i="1"/>
  <c r="AI66" i="14"/>
  <c r="AS66" i="14" s="1"/>
  <c r="AI66" i="13"/>
  <c r="AS66" i="13" s="1"/>
  <c r="AI66" i="12"/>
  <c r="AS66" i="12" s="1"/>
  <c r="AI66" i="11"/>
  <c r="AS66" i="11" s="1"/>
  <c r="AI66" i="10"/>
  <c r="AS66" i="10" s="1"/>
  <c r="AI66" i="9"/>
  <c r="AS66" i="9" s="1"/>
  <c r="AI66" i="8"/>
  <c r="AS66" i="8" s="1"/>
  <c r="AI66" i="7"/>
  <c r="AS66" i="7" s="1"/>
  <c r="AS66" i="6"/>
  <c r="AI66" i="2"/>
  <c r="AS66" i="2" s="1"/>
  <c r="AI66" i="5"/>
  <c r="AS66" i="5" s="1"/>
  <c r="BA65" i="1"/>
  <c r="AO65" i="14"/>
  <c r="AY65" i="14" s="1"/>
  <c r="AO65" i="13"/>
  <c r="AY65" i="13" s="1"/>
  <c r="AO65" i="12"/>
  <c r="AY65" i="12" s="1"/>
  <c r="AO65" i="10"/>
  <c r="AY65" i="10" s="1"/>
  <c r="AO65" i="11"/>
  <c r="AY65" i="11" s="1"/>
  <c r="AO65" i="9"/>
  <c r="AY65" i="9" s="1"/>
  <c r="AO65" i="8"/>
  <c r="AY65" i="8" s="1"/>
  <c r="AO65" i="7"/>
  <c r="AY65" i="7" s="1"/>
  <c r="AO65" i="5"/>
  <c r="AY65" i="5" s="1"/>
  <c r="AO65" i="2"/>
  <c r="AY65" i="2" s="1"/>
  <c r="AO65" i="6"/>
  <c r="AY65" i="6" s="1"/>
  <c r="AW65" i="1"/>
  <c r="AK65" i="14"/>
  <c r="AU65" i="14" s="1"/>
  <c r="AK65" i="13"/>
  <c r="AU65" i="13" s="1"/>
  <c r="AK65" i="12"/>
  <c r="AU65" i="12" s="1"/>
  <c r="AK65" i="10"/>
  <c r="AU65" i="10" s="1"/>
  <c r="AK65" i="11"/>
  <c r="AU65" i="11" s="1"/>
  <c r="AK65" i="9"/>
  <c r="AU65" i="9" s="1"/>
  <c r="AK65" i="8"/>
  <c r="AU65" i="8" s="1"/>
  <c r="AK65" i="7"/>
  <c r="AU65" i="7" s="1"/>
  <c r="AK65" i="5"/>
  <c r="AU65" i="5" s="1"/>
  <c r="AK65" i="2"/>
  <c r="AU65" i="2" s="1"/>
  <c r="AK65" i="6"/>
  <c r="AU65" i="6" s="1"/>
  <c r="BC64" i="1"/>
  <c r="AQ64" i="14"/>
  <c r="BA64" i="14" s="1"/>
  <c r="AQ64" i="13"/>
  <c r="BA64" i="13" s="1"/>
  <c r="AQ64" i="12"/>
  <c r="BA64" i="12" s="1"/>
  <c r="AQ64" i="10"/>
  <c r="BA64" i="10" s="1"/>
  <c r="AQ64" i="11"/>
  <c r="BA64" i="11" s="1"/>
  <c r="AQ64" i="9"/>
  <c r="BA64" i="9" s="1"/>
  <c r="AQ64" i="8"/>
  <c r="BA64" i="8" s="1"/>
  <c r="AQ64" i="7"/>
  <c r="BA64" i="7" s="1"/>
  <c r="AQ64" i="6"/>
  <c r="BA64" i="6" s="1"/>
  <c r="AQ64" i="2"/>
  <c r="BA64" i="2" s="1"/>
  <c r="AQ64" i="5"/>
  <c r="BA64" i="5" s="1"/>
  <c r="AY64" i="1"/>
  <c r="AM64" i="14"/>
  <c r="AW64" i="14" s="1"/>
  <c r="AM64" i="13"/>
  <c r="AW64" i="13" s="1"/>
  <c r="AM64" i="12"/>
  <c r="AW64" i="12" s="1"/>
  <c r="AM64" i="10"/>
  <c r="AW64" i="10" s="1"/>
  <c r="AM64" i="11"/>
  <c r="AW64" i="11" s="1"/>
  <c r="AM64" i="9"/>
  <c r="AW64" i="9" s="1"/>
  <c r="AM64" i="8"/>
  <c r="AW64" i="8" s="1"/>
  <c r="AM64" i="7"/>
  <c r="AW64" i="7" s="1"/>
  <c r="AM64" i="6"/>
  <c r="AW64" i="6" s="1"/>
  <c r="AM64" i="2"/>
  <c r="AW64" i="2" s="1"/>
  <c r="AM64" i="5"/>
  <c r="AW64" i="5" s="1"/>
  <c r="AU64" i="1"/>
  <c r="AI64" i="14"/>
  <c r="AS64" i="14" s="1"/>
  <c r="AI64" i="13"/>
  <c r="AS64" i="13" s="1"/>
  <c r="AI64" i="12"/>
  <c r="AS64" i="12" s="1"/>
  <c r="AI64" i="10"/>
  <c r="AS64" i="10" s="1"/>
  <c r="AI64" i="11"/>
  <c r="AS64" i="11" s="1"/>
  <c r="AI64" i="9"/>
  <c r="AS64" i="9" s="1"/>
  <c r="AI64" i="8"/>
  <c r="AS64" i="8" s="1"/>
  <c r="AI64" i="7"/>
  <c r="AS64" i="7" s="1"/>
  <c r="AS64" i="6"/>
  <c r="AI64" i="5"/>
  <c r="AS64" i="5" s="1"/>
  <c r="AI64" i="2"/>
  <c r="AS64" i="2" s="1"/>
  <c r="BA63" i="1"/>
  <c r="AO63" i="13"/>
  <c r="AY63" i="13" s="1"/>
  <c r="AO63" i="14"/>
  <c r="AY63" i="14" s="1"/>
  <c r="AO63" i="12"/>
  <c r="AY63" i="12" s="1"/>
  <c r="AO63" i="11"/>
  <c r="AY63" i="11" s="1"/>
  <c r="AO63" i="10"/>
  <c r="AY63" i="10" s="1"/>
  <c r="AO63" i="9"/>
  <c r="AY63" i="9" s="1"/>
  <c r="AO63" i="8"/>
  <c r="AY63" i="8" s="1"/>
  <c r="AO63" i="7"/>
  <c r="AY63" i="7" s="1"/>
  <c r="AO63" i="6"/>
  <c r="AY63" i="6" s="1"/>
  <c r="AO63" i="2"/>
  <c r="AY63" i="2" s="1"/>
  <c r="AO63" i="5"/>
  <c r="AY63" i="5" s="1"/>
  <c r="AW63" i="1"/>
  <c r="AK63" i="14"/>
  <c r="AU63" i="14" s="1"/>
  <c r="AK63" i="13"/>
  <c r="AU63" i="13" s="1"/>
  <c r="AK63" i="12"/>
  <c r="AU63" i="12" s="1"/>
  <c r="AK63" i="11"/>
  <c r="AU63" i="11" s="1"/>
  <c r="AK63" i="10"/>
  <c r="AU63" i="10" s="1"/>
  <c r="AK63" i="9"/>
  <c r="AU63" i="9" s="1"/>
  <c r="AK63" i="8"/>
  <c r="AU63" i="8" s="1"/>
  <c r="AK63" i="7"/>
  <c r="AU63" i="7" s="1"/>
  <c r="AK63" i="6"/>
  <c r="AU63" i="6" s="1"/>
  <c r="AK63" i="2"/>
  <c r="AU63" i="2" s="1"/>
  <c r="AK63" i="5"/>
  <c r="AU63" i="5" s="1"/>
  <c r="BC62" i="1"/>
  <c r="AQ62" i="14"/>
  <c r="BA62" i="14" s="1"/>
  <c r="AQ62" i="13"/>
  <c r="BA62" i="13" s="1"/>
  <c r="AQ62" i="12"/>
  <c r="BA62" i="12" s="1"/>
  <c r="AQ62" i="11"/>
  <c r="BA62" i="11" s="1"/>
  <c r="AQ62" i="10"/>
  <c r="BA62" i="10" s="1"/>
  <c r="AQ62" i="9"/>
  <c r="BA62" i="9" s="1"/>
  <c r="AQ62" i="8"/>
  <c r="BA62" i="8" s="1"/>
  <c r="AQ62" i="7"/>
  <c r="BA62" i="7" s="1"/>
  <c r="AQ62" i="6"/>
  <c r="BA62" i="6" s="1"/>
  <c r="AQ62" i="5"/>
  <c r="BA62" i="5" s="1"/>
  <c r="AQ62" i="2"/>
  <c r="BA62" i="2" s="1"/>
  <c r="AY62" i="1"/>
  <c r="AM62" i="14"/>
  <c r="AW62" i="14" s="1"/>
  <c r="AM62" i="12"/>
  <c r="AW62" i="12" s="1"/>
  <c r="AM62" i="13"/>
  <c r="AW62" i="13" s="1"/>
  <c r="AM62" i="11"/>
  <c r="AW62" i="11" s="1"/>
  <c r="AM62" i="10"/>
  <c r="AW62" i="10" s="1"/>
  <c r="AM62" i="9"/>
  <c r="AW62" i="9" s="1"/>
  <c r="AM62" i="8"/>
  <c r="AW62" i="8" s="1"/>
  <c r="AM62" i="7"/>
  <c r="AW62" i="7" s="1"/>
  <c r="AM62" i="6"/>
  <c r="AW62" i="6" s="1"/>
  <c r="AM62" i="5"/>
  <c r="AW62" i="5" s="1"/>
  <c r="AM62" i="2"/>
  <c r="AW62" i="2" s="1"/>
  <c r="AU62" i="1"/>
  <c r="AI62" i="14"/>
  <c r="AS62" i="14" s="1"/>
  <c r="AI62" i="13"/>
  <c r="AS62" i="13" s="1"/>
  <c r="AI62" i="12"/>
  <c r="AS62" i="12" s="1"/>
  <c r="AI62" i="11"/>
  <c r="AS62" i="11" s="1"/>
  <c r="AI62" i="10"/>
  <c r="AS62" i="10" s="1"/>
  <c r="AI62" i="9"/>
  <c r="AS62" i="9" s="1"/>
  <c r="AI62" i="8"/>
  <c r="AS62" i="8" s="1"/>
  <c r="AI62" i="7"/>
  <c r="AS62" i="7" s="1"/>
  <c r="AS62" i="6"/>
  <c r="AI62" i="5"/>
  <c r="AS62" i="5" s="1"/>
  <c r="AI62" i="2"/>
  <c r="AS62" i="2" s="1"/>
  <c r="BA61" i="1"/>
  <c r="AO61" i="14"/>
  <c r="AY61" i="14" s="1"/>
  <c r="AO61" i="13"/>
  <c r="AY61" i="13" s="1"/>
  <c r="AO61" i="12"/>
  <c r="AY61" i="12" s="1"/>
  <c r="AO61" i="11"/>
  <c r="AY61" i="11" s="1"/>
  <c r="AO61" i="8"/>
  <c r="AY61" i="8" s="1"/>
  <c r="AO61" i="7"/>
  <c r="AY61" i="7" s="1"/>
  <c r="AO61" i="10"/>
  <c r="AY61" i="10" s="1"/>
  <c r="AO61" i="9"/>
  <c r="AY61" i="9" s="1"/>
  <c r="AO61" i="6"/>
  <c r="AY61" i="6" s="1"/>
  <c r="AO61" i="5"/>
  <c r="AY61" i="5" s="1"/>
  <c r="AO61" i="2"/>
  <c r="AY61" i="2" s="1"/>
  <c r="AW61" i="1"/>
  <c r="AK61" i="14"/>
  <c r="AU61" i="14" s="1"/>
  <c r="AK61" i="13"/>
  <c r="AU61" i="13" s="1"/>
  <c r="AK61" i="12"/>
  <c r="AU61" i="12" s="1"/>
  <c r="AK61" i="11"/>
  <c r="AU61" i="11" s="1"/>
  <c r="AK61" i="10"/>
  <c r="AU61" i="10" s="1"/>
  <c r="AK61" i="8"/>
  <c r="AU61" i="8" s="1"/>
  <c r="AK61" i="7"/>
  <c r="AU61" i="7" s="1"/>
  <c r="AK61" i="9"/>
  <c r="AU61" i="9" s="1"/>
  <c r="AK61" i="6"/>
  <c r="AU61" i="6" s="1"/>
  <c r="AK61" i="5"/>
  <c r="AU61" i="5" s="1"/>
  <c r="AK61" i="2"/>
  <c r="AU61" i="2" s="1"/>
  <c r="BC60" i="1"/>
  <c r="AQ60" i="14"/>
  <c r="BA60" i="14" s="1"/>
  <c r="AQ60" i="12"/>
  <c r="BA60" i="12" s="1"/>
  <c r="AQ60" i="13"/>
  <c r="BA60" i="13" s="1"/>
  <c r="AQ60" i="11"/>
  <c r="BA60" i="11" s="1"/>
  <c r="AQ60" i="10"/>
  <c r="BA60" i="10" s="1"/>
  <c r="AQ60" i="9"/>
  <c r="BA60" i="9" s="1"/>
  <c r="AQ60" i="8"/>
  <c r="BA60" i="8" s="1"/>
  <c r="AQ60" i="7"/>
  <c r="BA60" i="7" s="1"/>
  <c r="AQ60" i="5"/>
  <c r="BA60" i="5" s="1"/>
  <c r="AQ60" i="6"/>
  <c r="BA60" i="6" s="1"/>
  <c r="AQ60" i="2"/>
  <c r="BA60" i="2" s="1"/>
  <c r="AY60" i="1"/>
  <c r="AM60" i="14"/>
  <c r="AW60" i="14" s="1"/>
  <c r="AM60" i="13"/>
  <c r="AW60" i="13" s="1"/>
  <c r="AM60" i="12"/>
  <c r="AW60" i="12" s="1"/>
  <c r="AM60" i="11"/>
  <c r="AW60" i="11" s="1"/>
  <c r="AM60" i="10"/>
  <c r="AW60" i="10" s="1"/>
  <c r="AM60" i="8"/>
  <c r="AW60" i="8" s="1"/>
  <c r="AM60" i="9"/>
  <c r="AW60" i="9" s="1"/>
  <c r="AM60" i="7"/>
  <c r="AW60" i="7" s="1"/>
  <c r="AM60" i="5"/>
  <c r="AW60" i="5" s="1"/>
  <c r="AM60" i="6"/>
  <c r="AW60" i="6" s="1"/>
  <c r="AM60" i="2"/>
  <c r="AW60" i="2" s="1"/>
  <c r="AU60" i="1"/>
  <c r="AI60" i="14"/>
  <c r="AS60" i="14" s="1"/>
  <c r="AI60" i="13"/>
  <c r="AS60" i="13" s="1"/>
  <c r="AI60" i="12"/>
  <c r="AS60" i="12" s="1"/>
  <c r="AI60" i="11"/>
  <c r="AS60" i="11" s="1"/>
  <c r="AI60" i="10"/>
  <c r="AS60" i="10" s="1"/>
  <c r="AI60" i="9"/>
  <c r="AS60" i="9" s="1"/>
  <c r="AI60" i="8"/>
  <c r="AS60" i="8" s="1"/>
  <c r="AI60" i="7"/>
  <c r="AS60" i="7" s="1"/>
  <c r="AI60" i="5"/>
  <c r="AS60" i="5" s="1"/>
  <c r="AS60" i="6"/>
  <c r="AI60" i="2"/>
  <c r="AS60" i="2" s="1"/>
  <c r="BA59" i="1"/>
  <c r="AO59" i="14"/>
  <c r="AY59" i="14" s="1"/>
  <c r="AO59" i="13"/>
  <c r="AY59" i="13" s="1"/>
  <c r="AO59" i="12"/>
  <c r="AY59" i="12" s="1"/>
  <c r="AO59" i="11"/>
  <c r="AY59" i="11" s="1"/>
  <c r="AO59" i="10"/>
  <c r="AY59" i="10" s="1"/>
  <c r="AO59" i="9"/>
  <c r="AY59" i="9" s="1"/>
  <c r="AO59" i="8"/>
  <c r="AY59" i="8" s="1"/>
  <c r="AO59" i="7"/>
  <c r="AY59" i="7" s="1"/>
  <c r="AO59" i="5"/>
  <c r="AY59" i="5" s="1"/>
  <c r="AO59" i="6"/>
  <c r="AY59" i="6" s="1"/>
  <c r="AO59" i="2"/>
  <c r="AY59" i="2" s="1"/>
  <c r="AW59" i="1"/>
  <c r="AK59" i="13"/>
  <c r="AU59" i="13" s="1"/>
  <c r="AK59" i="14"/>
  <c r="AU59" i="14" s="1"/>
  <c r="AK59" i="12"/>
  <c r="AU59" i="12" s="1"/>
  <c r="AK59" i="11"/>
  <c r="AU59" i="11" s="1"/>
  <c r="AK59" i="9"/>
  <c r="AU59" i="9" s="1"/>
  <c r="AK59" i="8"/>
  <c r="AU59" i="8" s="1"/>
  <c r="AK59" i="7"/>
  <c r="AU59" i="7" s="1"/>
  <c r="AK59" i="10"/>
  <c r="AU59" i="10" s="1"/>
  <c r="AK59" i="5"/>
  <c r="AU59" i="5" s="1"/>
  <c r="AK59" i="6"/>
  <c r="AU59" i="6" s="1"/>
  <c r="AK59" i="2"/>
  <c r="AU59" i="2" s="1"/>
  <c r="BC58" i="1"/>
  <c r="AQ58" i="14"/>
  <c r="BA58" i="14" s="1"/>
  <c r="AQ58" i="13"/>
  <c r="BA58" i="13" s="1"/>
  <c r="AQ58" i="12"/>
  <c r="BA58" i="12" s="1"/>
  <c r="AQ58" i="11"/>
  <c r="BA58" i="11" s="1"/>
  <c r="AQ58" i="10"/>
  <c r="BA58" i="10" s="1"/>
  <c r="AQ58" i="9"/>
  <c r="BA58" i="9" s="1"/>
  <c r="AQ58" i="8"/>
  <c r="BA58" i="8" s="1"/>
  <c r="AQ58" i="7"/>
  <c r="BA58" i="7" s="1"/>
  <c r="AQ58" i="6"/>
  <c r="BA58" i="6" s="1"/>
  <c r="AQ58" i="5"/>
  <c r="BA58" i="5" s="1"/>
  <c r="AQ58" i="2"/>
  <c r="BA58" i="2" s="1"/>
  <c r="AY58" i="1"/>
  <c r="AM58" i="14"/>
  <c r="AW58" i="14" s="1"/>
  <c r="AM58" i="13"/>
  <c r="AW58" i="13" s="1"/>
  <c r="AM58" i="12"/>
  <c r="AW58" i="12" s="1"/>
  <c r="AM58" i="11"/>
  <c r="AW58" i="11" s="1"/>
  <c r="AM58" i="9"/>
  <c r="AW58" i="9" s="1"/>
  <c r="AM58" i="10"/>
  <c r="AW58" i="10" s="1"/>
  <c r="AM58" i="8"/>
  <c r="AW58" i="8" s="1"/>
  <c r="AM58" i="7"/>
  <c r="AW58" i="7" s="1"/>
  <c r="AM58" i="6"/>
  <c r="AW58" i="6" s="1"/>
  <c r="AM58" i="5"/>
  <c r="AW58" i="5" s="1"/>
  <c r="AM58" i="2"/>
  <c r="AW58" i="2" s="1"/>
  <c r="AU58" i="1"/>
  <c r="AI58" i="14"/>
  <c r="AS58" i="14" s="1"/>
  <c r="AI58" i="12"/>
  <c r="AS58" i="12" s="1"/>
  <c r="AI58" i="13"/>
  <c r="AS58" i="13" s="1"/>
  <c r="AI58" i="11"/>
  <c r="AS58" i="11" s="1"/>
  <c r="AI58" i="10"/>
  <c r="AS58" i="10" s="1"/>
  <c r="AI58" i="9"/>
  <c r="AS58" i="9" s="1"/>
  <c r="AI58" i="8"/>
  <c r="AS58" i="8" s="1"/>
  <c r="AI58" i="7"/>
  <c r="AS58" i="7" s="1"/>
  <c r="AS58" i="6"/>
  <c r="AI58" i="5"/>
  <c r="AS58" i="5" s="1"/>
  <c r="AI58" i="2"/>
  <c r="AS58" i="2" s="1"/>
  <c r="BA20" i="1"/>
  <c r="AO20" i="14"/>
  <c r="AY20" i="14" s="1"/>
  <c r="AO20" i="13"/>
  <c r="AY20" i="13" s="1"/>
  <c r="AO20" i="11"/>
  <c r="AY20" i="11" s="1"/>
  <c r="AO20" i="12"/>
  <c r="AY20" i="12" s="1"/>
  <c r="AO20" i="10"/>
  <c r="AY20" i="10" s="1"/>
  <c r="AO20" i="9"/>
  <c r="AY20" i="9" s="1"/>
  <c r="AO20" i="6"/>
  <c r="AY20" i="6" s="1"/>
  <c r="AO20" i="2"/>
  <c r="AY20" i="2" s="1"/>
  <c r="AO20" i="5"/>
  <c r="AY20" i="5" s="1"/>
  <c r="AO20" i="8"/>
  <c r="AY20" i="8" s="1"/>
  <c r="AO20" i="7"/>
  <c r="AY20" i="7" s="1"/>
  <c r="AW20" i="1"/>
  <c r="AK20" i="14"/>
  <c r="AU20" i="14" s="1"/>
  <c r="AK20" i="13"/>
  <c r="AU20" i="13" s="1"/>
  <c r="AK20" i="11"/>
  <c r="AU20" i="11" s="1"/>
  <c r="AK20" i="12"/>
  <c r="AU20" i="12" s="1"/>
  <c r="AK20" i="10"/>
  <c r="AU20" i="10" s="1"/>
  <c r="AK20" i="9"/>
  <c r="AU20" i="9" s="1"/>
  <c r="AK20" i="6"/>
  <c r="AU20" i="6" s="1"/>
  <c r="AK20" i="2"/>
  <c r="AU20" i="2" s="1"/>
  <c r="AK20" i="5"/>
  <c r="AU20" i="5" s="1"/>
  <c r="AK20" i="8"/>
  <c r="AU20" i="8" s="1"/>
  <c r="AK20" i="7"/>
  <c r="AU20" i="7" s="1"/>
  <c r="BC19" i="1"/>
  <c r="AQ19" i="14"/>
  <c r="BA19" i="14" s="1"/>
  <c r="AQ19" i="13"/>
  <c r="BA19" i="13" s="1"/>
  <c r="AQ19" i="12"/>
  <c r="BA19" i="12" s="1"/>
  <c r="AQ19" i="10"/>
  <c r="BA19" i="10" s="1"/>
  <c r="AQ19" i="9"/>
  <c r="BA19" i="9" s="1"/>
  <c r="AQ19" i="8"/>
  <c r="BA19" i="8" s="1"/>
  <c r="AQ19" i="11"/>
  <c r="BA19" i="11" s="1"/>
  <c r="AQ19" i="7"/>
  <c r="BA19" i="7" s="1"/>
  <c r="AQ19" i="2"/>
  <c r="BA19" i="2" s="1"/>
  <c r="AQ19" i="6"/>
  <c r="BA19" i="6" s="1"/>
  <c r="AQ19" i="5"/>
  <c r="BA19" i="5" s="1"/>
  <c r="AY19" i="1"/>
  <c r="AM19" i="14"/>
  <c r="AW19" i="14" s="1"/>
  <c r="AM19" i="13"/>
  <c r="AW19" i="13" s="1"/>
  <c r="AM19" i="10"/>
  <c r="AW19" i="10" s="1"/>
  <c r="AM19" i="9"/>
  <c r="AW19" i="9" s="1"/>
  <c r="AM19" i="12"/>
  <c r="AW19" i="12" s="1"/>
  <c r="AM19" i="11"/>
  <c r="AW19" i="11" s="1"/>
  <c r="AM19" i="8"/>
  <c r="AW19" i="8" s="1"/>
  <c r="AM19" i="7"/>
  <c r="AW19" i="7" s="1"/>
  <c r="AM19" i="2"/>
  <c r="AW19" i="2" s="1"/>
  <c r="AM19" i="6"/>
  <c r="AW19" i="6" s="1"/>
  <c r="AM19" i="5"/>
  <c r="AW19" i="5" s="1"/>
  <c r="AU19" i="1"/>
  <c r="AI19" i="14"/>
  <c r="AS19" i="14" s="1"/>
  <c r="AI19" i="13"/>
  <c r="AS19" i="13" s="1"/>
  <c r="AI19" i="10"/>
  <c r="AS19" i="10" s="1"/>
  <c r="AI19" i="9"/>
  <c r="AS19" i="9" s="1"/>
  <c r="AI19" i="12"/>
  <c r="AS19" i="12" s="1"/>
  <c r="AI19" i="8"/>
  <c r="AS19" i="8" s="1"/>
  <c r="AI19" i="11"/>
  <c r="AS19" i="11" s="1"/>
  <c r="AI19" i="7"/>
  <c r="AS19" i="7" s="1"/>
  <c r="AI19" i="2"/>
  <c r="AS19" i="2" s="1"/>
  <c r="AS19" i="6"/>
  <c r="AI19" i="5"/>
  <c r="AS19" i="5" s="1"/>
  <c r="BA18" i="1"/>
  <c r="AO18" i="14"/>
  <c r="AY18" i="14" s="1"/>
  <c r="AO18" i="13"/>
  <c r="AY18" i="13" s="1"/>
  <c r="AO18" i="12"/>
  <c r="AY18" i="12" s="1"/>
  <c r="AO18" i="11"/>
  <c r="AY18" i="11" s="1"/>
  <c r="AO18" i="10"/>
  <c r="AY18" i="10" s="1"/>
  <c r="AO18" i="8"/>
  <c r="AY18" i="8" s="1"/>
  <c r="AO18" i="9"/>
  <c r="AY18" i="9" s="1"/>
  <c r="AO18" i="7"/>
  <c r="AY18" i="7" s="1"/>
  <c r="AO18" i="6"/>
  <c r="AY18" i="6" s="1"/>
  <c r="AO18" i="2"/>
  <c r="AY18" i="2" s="1"/>
  <c r="AO18" i="5"/>
  <c r="AY18" i="5" s="1"/>
  <c r="AW18" i="1"/>
  <c r="AK18" i="14"/>
  <c r="AU18" i="14" s="1"/>
  <c r="AK18" i="13"/>
  <c r="AU18" i="13" s="1"/>
  <c r="AK18" i="12"/>
  <c r="AU18" i="12" s="1"/>
  <c r="AK18" i="11"/>
  <c r="AU18" i="11" s="1"/>
  <c r="AK18" i="10"/>
  <c r="AU18" i="10" s="1"/>
  <c r="AK18" i="9"/>
  <c r="AU18" i="9" s="1"/>
  <c r="AK18" i="8"/>
  <c r="AU18" i="8" s="1"/>
  <c r="AK18" i="7"/>
  <c r="AU18" i="7" s="1"/>
  <c r="AK18" i="6"/>
  <c r="AU18" i="6" s="1"/>
  <c r="AK18" i="2"/>
  <c r="AU18" i="2" s="1"/>
  <c r="AK18" i="5"/>
  <c r="AU18" i="5" s="1"/>
  <c r="AT83" i="1"/>
  <c r="AH83" i="14"/>
  <c r="AR83" i="14" s="1"/>
  <c r="AH83" i="13"/>
  <c r="AR83" i="13" s="1"/>
  <c r="AH83" i="12"/>
  <c r="AR83" i="12" s="1"/>
  <c r="AH83" i="10"/>
  <c r="AR83" i="10" s="1"/>
  <c r="AH83" i="11"/>
  <c r="AR83" i="11" s="1"/>
  <c r="AH83" i="9"/>
  <c r="AR83" i="9" s="1"/>
  <c r="AR83" i="6"/>
  <c r="AH83" i="8"/>
  <c r="AR83" i="8" s="1"/>
  <c r="AH83" i="5"/>
  <c r="AR83" i="5" s="1"/>
  <c r="AH83" i="2"/>
  <c r="AR83" i="2" s="1"/>
  <c r="AZ85" i="1"/>
  <c r="AN85" i="14"/>
  <c r="AX85" i="14" s="1"/>
  <c r="AN85" i="13"/>
  <c r="AX85" i="13" s="1"/>
  <c r="AN85" i="12"/>
  <c r="AX85" i="12" s="1"/>
  <c r="AN85" i="11"/>
  <c r="AX85" i="11" s="1"/>
  <c r="AN85" i="10"/>
  <c r="AX85" i="10" s="1"/>
  <c r="AN85" i="9"/>
  <c r="AX85" i="9" s="1"/>
  <c r="AN85" i="8"/>
  <c r="AX85" i="8" s="1"/>
  <c r="AX85" i="7"/>
  <c r="AN85" i="5"/>
  <c r="AX85" i="5" s="1"/>
  <c r="AN85" i="6"/>
  <c r="AX85" i="6" s="1"/>
  <c r="AN85" i="2"/>
  <c r="AX85" i="2" s="1"/>
  <c r="AV85" i="1"/>
  <c r="AJ85" i="14"/>
  <c r="AT85" i="14" s="1"/>
  <c r="AJ85" i="13"/>
  <c r="AT85" i="13" s="1"/>
  <c r="AJ85" i="11"/>
  <c r="AT85" i="11" s="1"/>
  <c r="AJ85" i="12"/>
  <c r="AT85" i="12" s="1"/>
  <c r="AJ85" i="9"/>
  <c r="AT85" i="9" s="1"/>
  <c r="AJ85" i="10"/>
  <c r="AT85" i="10" s="1"/>
  <c r="AJ85" i="8"/>
  <c r="AT85" i="8" s="1"/>
  <c r="AJ85" i="5"/>
  <c r="AT85" i="5" s="1"/>
  <c r="AJ85" i="6"/>
  <c r="AT85" i="6" s="1"/>
  <c r="AJ85" i="2"/>
  <c r="AT85" i="2" s="1"/>
  <c r="BB84" i="1"/>
  <c r="AP84" i="14"/>
  <c r="AZ84" i="14" s="1"/>
  <c r="AP84" i="13"/>
  <c r="AZ84" i="13" s="1"/>
  <c r="AP84" i="12"/>
  <c r="AZ84" i="12" s="1"/>
  <c r="AP84" i="11"/>
  <c r="AZ84" i="11" s="1"/>
  <c r="AP84" i="9"/>
  <c r="AZ84" i="9" s="1"/>
  <c r="AP84" i="10"/>
  <c r="AZ84" i="10" s="1"/>
  <c r="AP84" i="8"/>
  <c r="AZ84" i="8" s="1"/>
  <c r="AP84" i="5"/>
  <c r="AZ84" i="5" s="1"/>
  <c r="AZ84" i="7"/>
  <c r="AP84" i="2"/>
  <c r="AZ84" i="2" s="1"/>
  <c r="AP84" i="6"/>
  <c r="AZ84" i="6" s="1"/>
  <c r="AX84" i="1"/>
  <c r="AL84" i="14"/>
  <c r="AV84" i="14" s="1"/>
  <c r="AL84" i="13"/>
  <c r="AV84" i="13" s="1"/>
  <c r="AL84" i="12"/>
  <c r="AV84" i="12" s="1"/>
  <c r="AL84" i="11"/>
  <c r="AV84" i="11" s="1"/>
  <c r="AL84" i="10"/>
  <c r="AV84" i="10" s="1"/>
  <c r="AL84" i="9"/>
  <c r="AV84" i="9" s="1"/>
  <c r="AL84" i="8"/>
  <c r="AV84" i="8" s="1"/>
  <c r="AV84" i="7"/>
  <c r="AL84" i="5"/>
  <c r="AV84" i="5" s="1"/>
  <c r="AL84" i="6"/>
  <c r="AV84" i="6" s="1"/>
  <c r="AL84" i="2"/>
  <c r="AV84" i="2" s="1"/>
  <c r="AT84" i="1"/>
  <c r="AH84" i="14"/>
  <c r="AR84" i="14" s="1"/>
  <c r="AH84" i="12"/>
  <c r="AR84" i="12" s="1"/>
  <c r="AH84" i="13"/>
  <c r="AR84" i="13" s="1"/>
  <c r="AH84" i="11"/>
  <c r="AR84" i="11" s="1"/>
  <c r="AH84" i="9"/>
  <c r="AR84" i="9" s="1"/>
  <c r="AH84" i="8"/>
  <c r="AR84" i="8" s="1"/>
  <c r="AH84" i="10"/>
  <c r="AR84" i="10" s="1"/>
  <c r="AH84" i="5"/>
  <c r="AR84" i="5" s="1"/>
  <c r="AR84" i="6"/>
  <c r="AH84" i="2"/>
  <c r="AR84" i="2" s="1"/>
  <c r="BC80" i="1"/>
  <c r="BB80" i="1"/>
  <c r="BA80" i="1"/>
  <c r="AZ80" i="1"/>
  <c r="AY80" i="1"/>
  <c r="AX80" i="1"/>
  <c r="AW80" i="1"/>
  <c r="AV80" i="1"/>
  <c r="AU80" i="1"/>
  <c r="AT80" i="1"/>
  <c r="BC68" i="1"/>
  <c r="BB68" i="1"/>
  <c r="BA68" i="1"/>
  <c r="AZ68" i="1"/>
  <c r="AY68" i="1"/>
  <c r="AX68" i="1"/>
  <c r="AW68" i="1"/>
  <c r="AV68" i="1"/>
  <c r="AU68" i="1"/>
  <c r="AT68" i="1"/>
  <c r="BC54" i="1"/>
  <c r="BB54" i="1"/>
  <c r="BA54" i="1"/>
  <c r="AZ54" i="1"/>
  <c r="AY54" i="1"/>
  <c r="AX54" i="1"/>
  <c r="AW54" i="1"/>
  <c r="AV54" i="1"/>
  <c r="AU54" i="1"/>
  <c r="AT54" i="1"/>
  <c r="BC40" i="1"/>
  <c r="BB40" i="1"/>
  <c r="BA40" i="1"/>
  <c r="AZ40" i="1"/>
  <c r="AY40" i="1"/>
  <c r="AX40" i="1"/>
  <c r="AW40" i="1"/>
  <c r="AV40" i="1"/>
  <c r="AU40" i="1"/>
  <c r="AT40" i="1"/>
  <c r="BC30" i="1"/>
  <c r="BB30" i="1"/>
  <c r="BA30" i="1"/>
  <c r="AZ30" i="1"/>
  <c r="AY30" i="1"/>
  <c r="AX30" i="1"/>
  <c r="AW30" i="1"/>
  <c r="AV30" i="1"/>
  <c r="AU30" i="1"/>
  <c r="AT30" i="1"/>
  <c r="BC21" i="1"/>
  <c r="BB21" i="1"/>
  <c r="BA21" i="1"/>
  <c r="AZ21" i="1"/>
  <c r="AY21" i="1"/>
  <c r="AX21" i="1"/>
  <c r="AW21" i="1"/>
  <c r="AV21" i="1"/>
  <c r="AU21" i="1"/>
  <c r="AT21" i="1"/>
  <c r="BC14" i="1"/>
  <c r="BB14" i="1"/>
  <c r="BA14" i="1"/>
  <c r="AZ14" i="1"/>
  <c r="AY14" i="1"/>
  <c r="AX14" i="1"/>
  <c r="AW14" i="1"/>
  <c r="AV14" i="1"/>
  <c r="AU14" i="1"/>
  <c r="AT14" i="1"/>
  <c r="AS83" i="1"/>
  <c r="AQ83" i="7" s="1"/>
  <c r="AR83" i="1"/>
  <c r="AP83" i="7" s="1"/>
  <c r="AQ83" i="1"/>
  <c r="AO83" i="7" s="1"/>
  <c r="AP83" i="1"/>
  <c r="AN83" i="7" s="1"/>
  <c r="AO83" i="1"/>
  <c r="AM83" i="7" s="1"/>
  <c r="AN83" i="1"/>
  <c r="AL83" i="7" s="1"/>
  <c r="AM83" i="1"/>
  <c r="AK83" i="7" s="1"/>
  <c r="AL83" i="1"/>
  <c r="AJ83" i="7" s="1"/>
  <c r="AT83" i="7" s="1"/>
  <c r="AK83" i="1"/>
  <c r="AS82" i="1"/>
  <c r="AQ82" i="7" s="1"/>
  <c r="AR82" i="1"/>
  <c r="AP82" i="7" s="1"/>
  <c r="AQ82" i="1"/>
  <c r="AO82" i="7" s="1"/>
  <c r="AP82" i="1"/>
  <c r="AN82" i="7" s="1"/>
  <c r="AO82" i="1"/>
  <c r="AM82" i="7" s="1"/>
  <c r="AN82" i="1"/>
  <c r="AL82" i="7" s="1"/>
  <c r="AM82" i="1"/>
  <c r="AK82" i="7" s="1"/>
  <c r="AL82" i="1"/>
  <c r="AJ82" i="7" s="1"/>
  <c r="AT82" i="7" s="1"/>
  <c r="AK82" i="1"/>
  <c r="AJ82" i="1"/>
  <c r="AS81" i="1"/>
  <c r="AQ81" i="7" s="1"/>
  <c r="AR81" i="1"/>
  <c r="AP81" i="7" s="1"/>
  <c r="AQ81" i="1"/>
  <c r="AO81" i="7" s="1"/>
  <c r="AP81" i="1"/>
  <c r="AN81" i="7" s="1"/>
  <c r="AO81" i="1"/>
  <c r="AM81" i="7" s="1"/>
  <c r="AN81" i="1"/>
  <c r="AL81" i="7" s="1"/>
  <c r="AM81" i="1"/>
  <c r="AK81" i="7" s="1"/>
  <c r="AL81" i="1"/>
  <c r="AJ81" i="7" s="1"/>
  <c r="AT81" i="7" s="1"/>
  <c r="AK81" i="1"/>
  <c r="AJ81" i="1"/>
  <c r="AS71" i="1"/>
  <c r="AR71" i="1"/>
  <c r="AQ71" i="1"/>
  <c r="AP71" i="1"/>
  <c r="AO71" i="1"/>
  <c r="AN71" i="1"/>
  <c r="AM71" i="1"/>
  <c r="AL71" i="1"/>
  <c r="AK71" i="1"/>
  <c r="AI71" i="6" s="1"/>
  <c r="AJ71" i="1"/>
  <c r="AH71" i="6" s="1"/>
  <c r="AS70" i="1"/>
  <c r="AR70" i="1"/>
  <c r="AQ70" i="1"/>
  <c r="AP70" i="1"/>
  <c r="AO70" i="1"/>
  <c r="AN70" i="1"/>
  <c r="AM70" i="1"/>
  <c r="AL70" i="1"/>
  <c r="AK70" i="1"/>
  <c r="AI70" i="6" s="1"/>
  <c r="AJ70" i="1"/>
  <c r="AH70" i="6" s="1"/>
  <c r="AS69" i="1"/>
  <c r="AR69" i="1"/>
  <c r="AQ69" i="1"/>
  <c r="AP69" i="1"/>
  <c r="AO69" i="1"/>
  <c r="AN69" i="1"/>
  <c r="AM69" i="1"/>
  <c r="AL69" i="1"/>
  <c r="AK69" i="1"/>
  <c r="AI69" i="6" s="1"/>
  <c r="AJ69" i="1"/>
  <c r="AH69" i="6" s="1"/>
  <c r="AS57" i="1"/>
  <c r="AR57" i="1"/>
  <c r="AQ57" i="1"/>
  <c r="AP57" i="1"/>
  <c r="AO57" i="1"/>
  <c r="AN57" i="1"/>
  <c r="AM57" i="1"/>
  <c r="AL57" i="1"/>
  <c r="AK57" i="1"/>
  <c r="AI57" i="6" s="1"/>
  <c r="AJ57" i="1"/>
  <c r="AH57" i="6" s="1"/>
  <c r="AS56" i="1"/>
  <c r="AR56" i="1"/>
  <c r="AQ56" i="1"/>
  <c r="AP56" i="1"/>
  <c r="AO56" i="1"/>
  <c r="AN56" i="1"/>
  <c r="AM56" i="1"/>
  <c r="AL56" i="1"/>
  <c r="AK56" i="1"/>
  <c r="AI56" i="6" s="1"/>
  <c r="AJ56" i="1"/>
  <c r="AH56" i="6" s="1"/>
  <c r="AS55" i="1"/>
  <c r="AR55" i="1"/>
  <c r="AQ55" i="1"/>
  <c r="AP55" i="1"/>
  <c r="AO55" i="1"/>
  <c r="AN55" i="1"/>
  <c r="AM55" i="1"/>
  <c r="AL55" i="1"/>
  <c r="AK55" i="1"/>
  <c r="AI55" i="6" s="1"/>
  <c r="AJ55" i="1"/>
  <c r="AH55" i="6" s="1"/>
  <c r="AS43" i="1"/>
  <c r="AR43" i="1"/>
  <c r="AQ43" i="1"/>
  <c r="AP43" i="1"/>
  <c r="AO43" i="1"/>
  <c r="AN43" i="1"/>
  <c r="AM43" i="1"/>
  <c r="AL43" i="1"/>
  <c r="AK43" i="1"/>
  <c r="AI43" i="6" s="1"/>
  <c r="AS42" i="1"/>
  <c r="AR42" i="1"/>
  <c r="AQ42" i="1"/>
  <c r="AP42" i="1"/>
  <c r="AO42" i="1"/>
  <c r="AN42" i="1"/>
  <c r="AM42" i="1"/>
  <c r="AL42" i="1"/>
  <c r="AK42" i="1"/>
  <c r="AI42" i="6" s="1"/>
  <c r="AJ42" i="1"/>
  <c r="AH42" i="6" s="1"/>
  <c r="AS41" i="1"/>
  <c r="AR41" i="1"/>
  <c r="AQ41" i="1"/>
  <c r="AP41" i="1"/>
  <c r="AO41" i="1"/>
  <c r="AN41" i="1"/>
  <c r="AM41" i="1"/>
  <c r="AL41" i="1"/>
  <c r="AK41" i="1"/>
  <c r="AI41" i="6" s="1"/>
  <c r="AJ41" i="1"/>
  <c r="AH41" i="6" s="1"/>
  <c r="AS33" i="1"/>
  <c r="AR33" i="1"/>
  <c r="AQ33" i="1"/>
  <c r="AP33" i="1"/>
  <c r="AO33" i="1"/>
  <c r="AN33" i="1"/>
  <c r="AM33" i="1"/>
  <c r="AL33" i="1"/>
  <c r="AK33" i="1"/>
  <c r="AI33" i="6" s="1"/>
  <c r="AT33" i="1"/>
  <c r="AS32" i="1"/>
  <c r="AR32" i="1"/>
  <c r="AQ32" i="1"/>
  <c r="AP32" i="1"/>
  <c r="AO32" i="1"/>
  <c r="AN32" i="1"/>
  <c r="AM32" i="1"/>
  <c r="AL32" i="1"/>
  <c r="AK32" i="1"/>
  <c r="AI32" i="6" s="1"/>
  <c r="AT32" i="1"/>
  <c r="AS31" i="1"/>
  <c r="AR31" i="1"/>
  <c r="AQ31" i="1"/>
  <c r="AP31" i="1"/>
  <c r="AO31" i="1"/>
  <c r="AN31" i="1"/>
  <c r="AM31" i="1"/>
  <c r="AL31" i="1"/>
  <c r="AK31" i="1"/>
  <c r="AI31" i="6" s="1"/>
  <c r="AT31" i="1"/>
  <c r="AS24" i="1"/>
  <c r="AR24" i="1"/>
  <c r="AQ24" i="1"/>
  <c r="AP24" i="1"/>
  <c r="AO24" i="1"/>
  <c r="AN24" i="1"/>
  <c r="AM24" i="1"/>
  <c r="AL24" i="1"/>
  <c r="AK24" i="1"/>
  <c r="AI24" i="6" s="1"/>
  <c r="AJ24" i="1"/>
  <c r="AH24" i="6" s="1"/>
  <c r="AS23" i="1"/>
  <c r="AR23" i="1"/>
  <c r="AQ23" i="1"/>
  <c r="AP23" i="1"/>
  <c r="AO23" i="1"/>
  <c r="AN23" i="1"/>
  <c r="AM23" i="1"/>
  <c r="AL23" i="1"/>
  <c r="AK23" i="1"/>
  <c r="AI23" i="6" s="1"/>
  <c r="AJ23" i="1"/>
  <c r="AH23" i="6" s="1"/>
  <c r="AS22" i="1"/>
  <c r="AR22" i="1"/>
  <c r="AQ22" i="1"/>
  <c r="AP22" i="1"/>
  <c r="AO22" i="1"/>
  <c r="AN22" i="1"/>
  <c r="AM22" i="1"/>
  <c r="AL22" i="1"/>
  <c r="AK22" i="1"/>
  <c r="AI22" i="6" s="1"/>
  <c r="AJ22" i="1"/>
  <c r="AH22" i="6" s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J8" i="1"/>
  <c r="AH8" i="6" s="1"/>
  <c r="AK8" i="1"/>
  <c r="AI8" i="6" s="1"/>
  <c r="AL8" i="1"/>
  <c r="AM8" i="1"/>
  <c r="AN8" i="1"/>
  <c r="AO8" i="1"/>
  <c r="AP8" i="1"/>
  <c r="AQ8" i="1"/>
  <c r="AR8" i="1"/>
  <c r="AS8" i="1"/>
  <c r="AJ9" i="1"/>
  <c r="AH9" i="6" s="1"/>
  <c r="AK9" i="1"/>
  <c r="AI9" i="6" s="1"/>
  <c r="AL9" i="1"/>
  <c r="AM9" i="1"/>
  <c r="AN9" i="1"/>
  <c r="AO9" i="1"/>
  <c r="AP9" i="1"/>
  <c r="AQ9" i="1"/>
  <c r="AR9" i="1"/>
  <c r="AS9" i="1"/>
  <c r="AS7" i="1"/>
  <c r="AR7" i="1"/>
  <c r="AQ7" i="1"/>
  <c r="AP7" i="1"/>
  <c r="AO7" i="1"/>
  <c r="AN7" i="1"/>
  <c r="AM7" i="1"/>
  <c r="AL7" i="1"/>
  <c r="AK7" i="1"/>
  <c r="AI7" i="6" s="1"/>
  <c r="AJ7" i="1"/>
  <c r="AH7" i="6" s="1"/>
  <c r="BC6" i="1"/>
  <c r="BB6" i="1"/>
  <c r="BA6" i="1"/>
  <c r="AZ6" i="1"/>
  <c r="AY6" i="1"/>
  <c r="AX6" i="1"/>
  <c r="AW6" i="1"/>
  <c r="AV6" i="1"/>
  <c r="AU6" i="1"/>
  <c r="AT6" i="1"/>
  <c r="AH82" i="6" l="1"/>
  <c r="AH82" i="7"/>
  <c r="AR82" i="7" s="1"/>
  <c r="AI82" i="6"/>
  <c r="AI82" i="7"/>
  <c r="AS82" i="7" s="1"/>
  <c r="AI83" i="6"/>
  <c r="AI83" i="7"/>
  <c r="AS83" i="7" s="1"/>
  <c r="AH81" i="6"/>
  <c r="AH81" i="7"/>
  <c r="AR81" i="7" s="1"/>
  <c r="AI81" i="6"/>
  <c r="AI81" i="7"/>
  <c r="AS81" i="7" s="1"/>
  <c r="BA7" i="1"/>
  <c r="AO7" i="14"/>
  <c r="AY7" i="14" s="1"/>
  <c r="AO7" i="13"/>
  <c r="AY7" i="13" s="1"/>
  <c r="AO7" i="12"/>
  <c r="AY7" i="12" s="1"/>
  <c r="AO7" i="11"/>
  <c r="AY7" i="11" s="1"/>
  <c r="AO7" i="10"/>
  <c r="AY7" i="10" s="1"/>
  <c r="AO7" i="9"/>
  <c r="AY7" i="9" s="1"/>
  <c r="AO7" i="7"/>
  <c r="AY7" i="7" s="1"/>
  <c r="AO7" i="6"/>
  <c r="AY7" i="6" s="1"/>
  <c r="AO7" i="5"/>
  <c r="AY7" i="5" s="1"/>
  <c r="AO7" i="8"/>
  <c r="AY7" i="8" s="1"/>
  <c r="AO7" i="2"/>
  <c r="AY7" i="2" s="1"/>
  <c r="BB9" i="1"/>
  <c r="AP9" i="14"/>
  <c r="AZ9" i="14" s="1"/>
  <c r="AP9" i="13"/>
  <c r="AZ9" i="13" s="1"/>
  <c r="AP9" i="11"/>
  <c r="AZ9" i="11" s="1"/>
  <c r="AP9" i="10"/>
  <c r="AZ9" i="10" s="1"/>
  <c r="AP9" i="8"/>
  <c r="AZ9" i="8" s="1"/>
  <c r="AP9" i="9"/>
  <c r="AZ9" i="9" s="1"/>
  <c r="AP9" i="12"/>
  <c r="AZ9" i="12" s="1"/>
  <c r="AP9" i="5"/>
  <c r="AZ9" i="5" s="1"/>
  <c r="AP9" i="2"/>
  <c r="AZ9" i="2" s="1"/>
  <c r="AP9" i="7"/>
  <c r="AZ9" i="7" s="1"/>
  <c r="AP9" i="6"/>
  <c r="AZ9" i="6" s="1"/>
  <c r="AT9" i="1"/>
  <c r="AH9" i="14"/>
  <c r="AR9" i="14" s="1"/>
  <c r="AH9" i="13"/>
  <c r="AR9" i="13" s="1"/>
  <c r="AH9" i="11"/>
  <c r="AR9" i="11" s="1"/>
  <c r="AH9" i="12"/>
  <c r="AR9" i="12" s="1"/>
  <c r="AH9" i="10"/>
  <c r="AR9" i="10" s="1"/>
  <c r="AH9" i="9"/>
  <c r="AR9" i="9" s="1"/>
  <c r="AH9" i="8"/>
  <c r="AR9" i="8" s="1"/>
  <c r="AH9" i="5"/>
  <c r="AR9" i="5" s="1"/>
  <c r="AH9" i="7"/>
  <c r="AR9" i="7" s="1"/>
  <c r="AR9" i="6"/>
  <c r="AH9" i="2"/>
  <c r="AR9" i="2" s="1"/>
  <c r="AV8" i="1"/>
  <c r="AJ8" i="14"/>
  <c r="AT8" i="14" s="1"/>
  <c r="AJ8" i="12"/>
  <c r="AT8" i="12" s="1"/>
  <c r="AJ8" i="13"/>
  <c r="AT8" i="13" s="1"/>
  <c r="AJ8" i="11"/>
  <c r="AT8" i="11" s="1"/>
  <c r="AJ8" i="9"/>
  <c r="AT8" i="9" s="1"/>
  <c r="AJ8" i="8"/>
  <c r="AT8" i="8" s="1"/>
  <c r="AJ8" i="10"/>
  <c r="AT8" i="10" s="1"/>
  <c r="AJ8" i="7"/>
  <c r="AT8" i="7" s="1"/>
  <c r="AJ8" i="6"/>
  <c r="AT8" i="6" s="1"/>
  <c r="AJ8" i="5"/>
  <c r="AT8" i="5" s="1"/>
  <c r="AJ8" i="2"/>
  <c r="AT8" i="2" s="1"/>
  <c r="AY15" i="1"/>
  <c r="AM15" i="14"/>
  <c r="AW15" i="14" s="1"/>
  <c r="AM15" i="13"/>
  <c r="AW15" i="13" s="1"/>
  <c r="AM15" i="12"/>
  <c r="AW15" i="12" s="1"/>
  <c r="AM15" i="10"/>
  <c r="AW15" i="10" s="1"/>
  <c r="AM15" i="9"/>
  <c r="AW15" i="9" s="1"/>
  <c r="AM15" i="11"/>
  <c r="AW15" i="11" s="1"/>
  <c r="AM15" i="8"/>
  <c r="AW15" i="8" s="1"/>
  <c r="AM15" i="2"/>
  <c r="AW15" i="2" s="1"/>
  <c r="AM15" i="7"/>
  <c r="AW15" i="7" s="1"/>
  <c r="AM15" i="6"/>
  <c r="AW15" i="6" s="1"/>
  <c r="AM15" i="5"/>
  <c r="AW15" i="5" s="1"/>
  <c r="AW16" i="1"/>
  <c r="AK16" i="14"/>
  <c r="AU16" i="14" s="1"/>
  <c r="AK16" i="13"/>
  <c r="AU16" i="13" s="1"/>
  <c r="AK16" i="11"/>
  <c r="AU16" i="11" s="1"/>
  <c r="AK16" i="12"/>
  <c r="AU16" i="12" s="1"/>
  <c r="AK16" i="10"/>
  <c r="AU16" i="10" s="1"/>
  <c r="AK16" i="6"/>
  <c r="AU16" i="6" s="1"/>
  <c r="AK16" i="2"/>
  <c r="AU16" i="2" s="1"/>
  <c r="AK16" i="9"/>
  <c r="AU16" i="9" s="1"/>
  <c r="AK16" i="7"/>
  <c r="AU16" i="7" s="1"/>
  <c r="AK16" i="5"/>
  <c r="AU16" i="5" s="1"/>
  <c r="AK16" i="8"/>
  <c r="AU16" i="8" s="1"/>
  <c r="AU17" i="1"/>
  <c r="AI17" i="14"/>
  <c r="AS17" i="14" s="1"/>
  <c r="AI17" i="13"/>
  <c r="AS17" i="13" s="1"/>
  <c r="AI17" i="11"/>
  <c r="AS17" i="11" s="1"/>
  <c r="AI17" i="12"/>
  <c r="AS17" i="12" s="1"/>
  <c r="AI17" i="10"/>
  <c r="AS17" i="10" s="1"/>
  <c r="AI17" i="9"/>
  <c r="AS17" i="9" s="1"/>
  <c r="AI17" i="8"/>
  <c r="AS17" i="8" s="1"/>
  <c r="AI17" i="5"/>
  <c r="AS17" i="5" s="1"/>
  <c r="AI17" i="2"/>
  <c r="AS17" i="2" s="1"/>
  <c r="AI17" i="7"/>
  <c r="AS17" i="7" s="1"/>
  <c r="AS17" i="6"/>
  <c r="BC17" i="1"/>
  <c r="AQ17" i="14"/>
  <c r="BA17" i="14" s="1"/>
  <c r="AQ17" i="13"/>
  <c r="BA17" i="13" s="1"/>
  <c r="AQ17" i="11"/>
  <c r="BA17" i="11" s="1"/>
  <c r="AQ17" i="12"/>
  <c r="BA17" i="12" s="1"/>
  <c r="AQ17" i="10"/>
  <c r="BA17" i="10" s="1"/>
  <c r="AQ17" i="9"/>
  <c r="BA17" i="9" s="1"/>
  <c r="AQ17" i="8"/>
  <c r="BA17" i="8" s="1"/>
  <c r="AQ17" i="5"/>
  <c r="BA17" i="5" s="1"/>
  <c r="AQ17" i="2"/>
  <c r="BA17" i="2" s="1"/>
  <c r="AQ17" i="7"/>
  <c r="BA17" i="7" s="1"/>
  <c r="AQ17" i="6"/>
  <c r="BA17" i="6" s="1"/>
  <c r="BA22" i="1"/>
  <c r="AO22" i="14"/>
  <c r="AY22" i="14" s="1"/>
  <c r="AO22" i="13"/>
  <c r="AY22" i="13" s="1"/>
  <c r="AO22" i="11"/>
  <c r="AY22" i="11" s="1"/>
  <c r="AO22" i="12"/>
  <c r="AY22" i="12" s="1"/>
  <c r="AO22" i="10"/>
  <c r="AY22" i="10" s="1"/>
  <c r="AO22" i="8"/>
  <c r="AY22" i="8" s="1"/>
  <c r="AO22" i="9"/>
  <c r="AY22" i="9" s="1"/>
  <c r="AO22" i="6"/>
  <c r="AY22" i="6" s="1"/>
  <c r="AO22" i="5"/>
  <c r="AY22" i="5" s="1"/>
  <c r="AO22" i="2"/>
  <c r="AY22" i="2" s="1"/>
  <c r="AO22" i="7"/>
  <c r="AY22" i="7" s="1"/>
  <c r="AY23" i="1"/>
  <c r="AM23" i="14"/>
  <c r="AW23" i="14" s="1"/>
  <c r="AM23" i="13"/>
  <c r="AW23" i="13" s="1"/>
  <c r="AM23" i="11"/>
  <c r="AW23" i="11" s="1"/>
  <c r="AM23" i="12"/>
  <c r="AW23" i="12" s="1"/>
  <c r="AM23" i="10"/>
  <c r="AW23" i="10" s="1"/>
  <c r="AM23" i="9"/>
  <c r="AW23" i="9" s="1"/>
  <c r="AM23" i="8"/>
  <c r="AW23" i="8" s="1"/>
  <c r="AM23" i="7"/>
  <c r="AW23" i="7" s="1"/>
  <c r="AM23" i="2"/>
  <c r="AW23" i="2" s="1"/>
  <c r="AM23" i="6"/>
  <c r="AW23" i="6" s="1"/>
  <c r="AM23" i="5"/>
  <c r="AW23" i="5" s="1"/>
  <c r="AW24" i="1"/>
  <c r="AK24" i="14"/>
  <c r="AU24" i="14" s="1"/>
  <c r="AK24" i="13"/>
  <c r="AU24" i="13" s="1"/>
  <c r="AK24" i="12"/>
  <c r="AU24" i="12" s="1"/>
  <c r="AK24" i="11"/>
  <c r="AU24" i="11" s="1"/>
  <c r="AK24" i="10"/>
  <c r="AU24" i="10" s="1"/>
  <c r="AK24" i="9"/>
  <c r="AU24" i="9" s="1"/>
  <c r="AK24" i="8"/>
  <c r="AU24" i="8" s="1"/>
  <c r="AK24" i="6"/>
  <c r="AU24" i="6" s="1"/>
  <c r="AK24" i="2"/>
  <c r="AU24" i="2" s="1"/>
  <c r="AK24" i="7"/>
  <c r="AU24" i="7" s="1"/>
  <c r="AK24" i="5"/>
  <c r="AU24" i="5" s="1"/>
  <c r="AU31" i="1"/>
  <c r="AI31" i="14"/>
  <c r="AS31" i="14" s="1"/>
  <c r="AI31" i="13"/>
  <c r="AS31" i="13" s="1"/>
  <c r="AI31" i="11"/>
  <c r="AS31" i="11" s="1"/>
  <c r="AI31" i="9"/>
  <c r="AS31" i="9" s="1"/>
  <c r="AI31" i="10"/>
  <c r="AS31" i="10" s="1"/>
  <c r="AI31" i="12"/>
  <c r="AS31" i="12" s="1"/>
  <c r="AI31" i="8"/>
  <c r="AS31" i="8" s="1"/>
  <c r="AI31" i="7"/>
  <c r="AS31" i="7" s="1"/>
  <c r="AI31" i="2"/>
  <c r="AS31" i="2" s="1"/>
  <c r="AS31" i="6"/>
  <c r="AI31" i="5"/>
  <c r="AS31" i="5" s="1"/>
  <c r="BC31" i="1"/>
  <c r="AQ31" i="14"/>
  <c r="BA31" i="14" s="1"/>
  <c r="AQ31" i="13"/>
  <c r="BA31" i="13" s="1"/>
  <c r="AQ31" i="11"/>
  <c r="BA31" i="11" s="1"/>
  <c r="AQ31" i="9"/>
  <c r="BA31" i="9" s="1"/>
  <c r="AQ31" i="12"/>
  <c r="BA31" i="12" s="1"/>
  <c r="AQ31" i="10"/>
  <c r="BA31" i="10" s="1"/>
  <c r="AQ31" i="8"/>
  <c r="BA31" i="8" s="1"/>
  <c r="AQ31" i="7"/>
  <c r="BA31" i="7" s="1"/>
  <c r="AQ31" i="2"/>
  <c r="BA31" i="2" s="1"/>
  <c r="AQ31" i="6"/>
  <c r="BA31" i="6" s="1"/>
  <c r="AQ31" i="5"/>
  <c r="BA31" i="5" s="1"/>
  <c r="BA32" i="1"/>
  <c r="AO32" i="14"/>
  <c r="AY32" i="14" s="1"/>
  <c r="AO32" i="13"/>
  <c r="AY32" i="13" s="1"/>
  <c r="AO32" i="12"/>
  <c r="AY32" i="12" s="1"/>
  <c r="AO32" i="10"/>
  <c r="AY32" i="10" s="1"/>
  <c r="AO32" i="11"/>
  <c r="AY32" i="11" s="1"/>
  <c r="AO32" i="9"/>
  <c r="AY32" i="9" s="1"/>
  <c r="AO32" i="6"/>
  <c r="AY32" i="6" s="1"/>
  <c r="AO32" i="5"/>
  <c r="AY32" i="5" s="1"/>
  <c r="AO32" i="2"/>
  <c r="AY32" i="2" s="1"/>
  <c r="AO32" i="8"/>
  <c r="AY32" i="8" s="1"/>
  <c r="AO32" i="7"/>
  <c r="AY32" i="7" s="1"/>
  <c r="AY33" i="1"/>
  <c r="AM33" i="14"/>
  <c r="AW33" i="14" s="1"/>
  <c r="AM33" i="13"/>
  <c r="AW33" i="13" s="1"/>
  <c r="AM33" i="11"/>
  <c r="AW33" i="11" s="1"/>
  <c r="AM33" i="9"/>
  <c r="AW33" i="9" s="1"/>
  <c r="AM33" i="10"/>
  <c r="AW33" i="10" s="1"/>
  <c r="AM33" i="12"/>
  <c r="AW33" i="12" s="1"/>
  <c r="AM33" i="8"/>
  <c r="AW33" i="8" s="1"/>
  <c r="AM33" i="5"/>
  <c r="AW33" i="5" s="1"/>
  <c r="AM33" i="2"/>
  <c r="AW33" i="2" s="1"/>
  <c r="AM33" i="7"/>
  <c r="AW33" i="7" s="1"/>
  <c r="AM33" i="6"/>
  <c r="AW33" i="6" s="1"/>
  <c r="AW41" i="1"/>
  <c r="AK41" i="14"/>
  <c r="AU41" i="14" s="1"/>
  <c r="AK41" i="13"/>
  <c r="AU41" i="13" s="1"/>
  <c r="AK41" i="11"/>
  <c r="AU41" i="11" s="1"/>
  <c r="AK41" i="12"/>
  <c r="AU41" i="12" s="1"/>
  <c r="AK41" i="9"/>
  <c r="AU41" i="9" s="1"/>
  <c r="AK41" i="8"/>
  <c r="AU41" i="8" s="1"/>
  <c r="AK41" i="10"/>
  <c r="AU41" i="10" s="1"/>
  <c r="AK41" i="7"/>
  <c r="AU41" i="7" s="1"/>
  <c r="AK41" i="5"/>
  <c r="AU41" i="5" s="1"/>
  <c r="AK41" i="6"/>
  <c r="AU41" i="6" s="1"/>
  <c r="AK41" i="2"/>
  <c r="AU41" i="2" s="1"/>
  <c r="BA41" i="1"/>
  <c r="AO41" i="14"/>
  <c r="AY41" i="14" s="1"/>
  <c r="AO41" i="13"/>
  <c r="AY41" i="13" s="1"/>
  <c r="AO41" i="12"/>
  <c r="AY41" i="12" s="1"/>
  <c r="AO41" i="8"/>
  <c r="AY41" i="8" s="1"/>
  <c r="AO41" i="10"/>
  <c r="AY41" i="10" s="1"/>
  <c r="AO41" i="11"/>
  <c r="AY41" i="11" s="1"/>
  <c r="AO41" i="9"/>
  <c r="AY41" i="9" s="1"/>
  <c r="AO41" i="7"/>
  <c r="AY41" i="7" s="1"/>
  <c r="AO41" i="5"/>
  <c r="AY41" i="5" s="1"/>
  <c r="AO41" i="6"/>
  <c r="AY41" i="6" s="1"/>
  <c r="AO41" i="2"/>
  <c r="AY41" i="2" s="1"/>
  <c r="AY42" i="1"/>
  <c r="AM42" i="14"/>
  <c r="AW42" i="14" s="1"/>
  <c r="AM42" i="13"/>
  <c r="AW42" i="13" s="1"/>
  <c r="AM42" i="11"/>
  <c r="AW42" i="11" s="1"/>
  <c r="AM42" i="12"/>
  <c r="AW42" i="12" s="1"/>
  <c r="AM42" i="9"/>
  <c r="AW42" i="9" s="1"/>
  <c r="AM42" i="10"/>
  <c r="AW42" i="10" s="1"/>
  <c r="AM42" i="8"/>
  <c r="AW42" i="8" s="1"/>
  <c r="AM42" i="6"/>
  <c r="AW42" i="6" s="1"/>
  <c r="AM42" i="7"/>
  <c r="AW42" i="7" s="1"/>
  <c r="AM42" i="2"/>
  <c r="AW42" i="2" s="1"/>
  <c r="AM42" i="5"/>
  <c r="AW42" i="5" s="1"/>
  <c r="AX43" i="1"/>
  <c r="AL43" i="14"/>
  <c r="AV43" i="14" s="1"/>
  <c r="AL43" i="13"/>
  <c r="AV43" i="13" s="1"/>
  <c r="AL43" i="12"/>
  <c r="AV43" i="12" s="1"/>
  <c r="AL43" i="11"/>
  <c r="AV43" i="11" s="1"/>
  <c r="AL43" i="10"/>
  <c r="AV43" i="10" s="1"/>
  <c r="AL43" i="9"/>
  <c r="AV43" i="9" s="1"/>
  <c r="AL43" i="8"/>
  <c r="AV43" i="8" s="1"/>
  <c r="AL43" i="5"/>
  <c r="AV43" i="5" s="1"/>
  <c r="AL43" i="7"/>
  <c r="AV43" i="7" s="1"/>
  <c r="AL43" i="6"/>
  <c r="AV43" i="6" s="1"/>
  <c r="AL43" i="2"/>
  <c r="AV43" i="2" s="1"/>
  <c r="AV55" i="1"/>
  <c r="AJ55" i="14"/>
  <c r="AT55" i="14" s="1"/>
  <c r="AJ55" i="13"/>
  <c r="AT55" i="13" s="1"/>
  <c r="AJ55" i="12"/>
  <c r="AT55" i="12" s="1"/>
  <c r="AJ55" i="10"/>
  <c r="AT55" i="10" s="1"/>
  <c r="AJ55" i="11"/>
  <c r="AT55" i="11" s="1"/>
  <c r="AJ55" i="9"/>
  <c r="AT55" i="9" s="1"/>
  <c r="AJ55" i="8"/>
  <c r="AT55" i="8" s="1"/>
  <c r="AJ55" i="7"/>
  <c r="AT55" i="7" s="1"/>
  <c r="AJ55" i="2"/>
  <c r="AT55" i="2" s="1"/>
  <c r="AJ55" i="6"/>
  <c r="AT55" i="6" s="1"/>
  <c r="AJ55" i="5"/>
  <c r="AT55" i="5" s="1"/>
  <c r="AX56" i="1"/>
  <c r="AL56" i="14"/>
  <c r="AV56" i="14" s="1"/>
  <c r="AL56" i="12"/>
  <c r="AV56" i="12" s="1"/>
  <c r="AL56" i="13"/>
  <c r="AV56" i="13" s="1"/>
  <c r="AL56" i="11"/>
  <c r="AV56" i="11" s="1"/>
  <c r="AL56" i="10"/>
  <c r="AV56" i="10" s="1"/>
  <c r="AL56" i="9"/>
  <c r="AV56" i="9" s="1"/>
  <c r="AL56" i="7"/>
  <c r="AV56" i="7" s="1"/>
  <c r="AL56" i="8"/>
  <c r="AV56" i="8" s="1"/>
  <c r="AL56" i="5"/>
  <c r="AV56" i="5" s="1"/>
  <c r="AL56" i="2"/>
  <c r="AV56" i="2" s="1"/>
  <c r="AL56" i="6"/>
  <c r="AV56" i="6" s="1"/>
  <c r="AV57" i="1"/>
  <c r="AJ57" i="14"/>
  <c r="AT57" i="14" s="1"/>
  <c r="AJ57" i="13"/>
  <c r="AT57" i="13" s="1"/>
  <c r="AJ57" i="12"/>
  <c r="AT57" i="12" s="1"/>
  <c r="AJ57" i="10"/>
  <c r="AT57" i="10" s="1"/>
  <c r="AJ57" i="11"/>
  <c r="AT57" i="11" s="1"/>
  <c r="AJ57" i="9"/>
  <c r="AT57" i="9" s="1"/>
  <c r="AJ57" i="8"/>
  <c r="AT57" i="8" s="1"/>
  <c r="AJ57" i="7"/>
  <c r="AT57" i="7" s="1"/>
  <c r="AJ57" i="2"/>
  <c r="AT57" i="2" s="1"/>
  <c r="AJ57" i="5"/>
  <c r="AT57" i="5" s="1"/>
  <c r="AJ57" i="6"/>
  <c r="AT57" i="6" s="1"/>
  <c r="AT69" i="1"/>
  <c r="AH69" i="14"/>
  <c r="AR69" i="14" s="1"/>
  <c r="AH69" i="13"/>
  <c r="AR69" i="13" s="1"/>
  <c r="AH69" i="12"/>
  <c r="AR69" i="12" s="1"/>
  <c r="AH69" i="11"/>
  <c r="AR69" i="11" s="1"/>
  <c r="AH69" i="10"/>
  <c r="AR69" i="10" s="1"/>
  <c r="AH69" i="5"/>
  <c r="AR69" i="5" s="1"/>
  <c r="AR69" i="6"/>
  <c r="AH69" i="7"/>
  <c r="AR69" i="7" s="1"/>
  <c r="AH69" i="9"/>
  <c r="AR69" i="9" s="1"/>
  <c r="AH69" i="2"/>
  <c r="AR69" i="2" s="1"/>
  <c r="AH69" i="8"/>
  <c r="AR69" i="8" s="1"/>
  <c r="BB69" i="1"/>
  <c r="AP69" i="14"/>
  <c r="AZ69" i="14" s="1"/>
  <c r="AP69" i="12"/>
  <c r="AZ69" i="12" s="1"/>
  <c r="AP69" i="13"/>
  <c r="AZ69" i="13" s="1"/>
  <c r="AP69" i="11"/>
  <c r="AZ69" i="11" s="1"/>
  <c r="AP69" i="10"/>
  <c r="AZ69" i="10" s="1"/>
  <c r="AP69" i="7"/>
  <c r="AZ69" i="7" s="1"/>
  <c r="AP69" i="5"/>
  <c r="AZ69" i="5" s="1"/>
  <c r="AP69" i="8"/>
  <c r="AZ69" i="8" s="1"/>
  <c r="AP69" i="6"/>
  <c r="AZ69" i="6" s="1"/>
  <c r="AP69" i="9"/>
  <c r="AZ69" i="9" s="1"/>
  <c r="AP69" i="2"/>
  <c r="AZ69" i="2" s="1"/>
  <c r="AZ70" i="1"/>
  <c r="AN70" i="14"/>
  <c r="AX70" i="14" s="1"/>
  <c r="AN70" i="13"/>
  <c r="AX70" i="13" s="1"/>
  <c r="AN70" i="12"/>
  <c r="AX70" i="12" s="1"/>
  <c r="AN70" i="10"/>
  <c r="AX70" i="10" s="1"/>
  <c r="AN70" i="11"/>
  <c r="AX70" i="11" s="1"/>
  <c r="AN70" i="9"/>
  <c r="AX70" i="9" s="1"/>
  <c r="AN70" i="7"/>
  <c r="AX70" i="7" s="1"/>
  <c r="AN70" i="6"/>
  <c r="AX70" i="6" s="1"/>
  <c r="AN70" i="8"/>
  <c r="AX70" i="8" s="1"/>
  <c r="AN70" i="2"/>
  <c r="AX70" i="2" s="1"/>
  <c r="AN70" i="5"/>
  <c r="AX70" i="5" s="1"/>
  <c r="AX71" i="1"/>
  <c r="AL71" i="14"/>
  <c r="AV71" i="14" s="1"/>
  <c r="AL71" i="13"/>
  <c r="AV71" i="13" s="1"/>
  <c r="AL71" i="12"/>
  <c r="AV71" i="12" s="1"/>
  <c r="AL71" i="10"/>
  <c r="AV71" i="10" s="1"/>
  <c r="AL71" i="11"/>
  <c r="AV71" i="11" s="1"/>
  <c r="AL71" i="6"/>
  <c r="AV71" i="6" s="1"/>
  <c r="AL71" i="8"/>
  <c r="AV71" i="8" s="1"/>
  <c r="AL71" i="2"/>
  <c r="AV71" i="2" s="1"/>
  <c r="AL71" i="9"/>
  <c r="AV71" i="9" s="1"/>
  <c r="AL71" i="7"/>
  <c r="AV71" i="7" s="1"/>
  <c r="AL71" i="5"/>
  <c r="AV71" i="5" s="1"/>
  <c r="AV81" i="1"/>
  <c r="AJ81" i="14"/>
  <c r="AT81" i="14" s="1"/>
  <c r="AJ81" i="13"/>
  <c r="AT81" i="13" s="1"/>
  <c r="AJ81" i="11"/>
  <c r="AT81" i="11" s="1"/>
  <c r="AJ81" i="12"/>
  <c r="AT81" i="12" s="1"/>
  <c r="AJ81" i="9"/>
  <c r="AT81" i="9" s="1"/>
  <c r="AJ81" i="8"/>
  <c r="AT81" i="8" s="1"/>
  <c r="AJ81" i="10"/>
  <c r="AT81" i="10" s="1"/>
  <c r="AJ81" i="5"/>
  <c r="AT81" i="5" s="1"/>
  <c r="AJ81" i="2"/>
  <c r="AT81" i="2" s="1"/>
  <c r="AJ81" i="6"/>
  <c r="AT81" i="6" s="1"/>
  <c r="AT82" i="1"/>
  <c r="AH82" i="14"/>
  <c r="AR82" i="14" s="1"/>
  <c r="AH82" i="13"/>
  <c r="AR82" i="13" s="1"/>
  <c r="AH82" i="12"/>
  <c r="AR82" i="12" s="1"/>
  <c r="AH82" i="11"/>
  <c r="AR82" i="11" s="1"/>
  <c r="AH82" i="10"/>
  <c r="AR82" i="10" s="1"/>
  <c r="AH82" i="9"/>
  <c r="AR82" i="9" s="1"/>
  <c r="AH82" i="8"/>
  <c r="AR82" i="8" s="1"/>
  <c r="AH82" i="5"/>
  <c r="AR82" i="5" s="1"/>
  <c r="AR82" i="6"/>
  <c r="AH82" i="2"/>
  <c r="AR82" i="2" s="1"/>
  <c r="AW83" i="1"/>
  <c r="AK83" i="14"/>
  <c r="AU83" i="14" s="1"/>
  <c r="AK83" i="13"/>
  <c r="AU83" i="13" s="1"/>
  <c r="AK83" i="12"/>
  <c r="AU83" i="12" s="1"/>
  <c r="AK83" i="11"/>
  <c r="AU83" i="11" s="1"/>
  <c r="AK83" i="10"/>
  <c r="AU83" i="10" s="1"/>
  <c r="AK83" i="9"/>
  <c r="AU83" i="9" s="1"/>
  <c r="AK83" i="8"/>
  <c r="AU83" i="8" s="1"/>
  <c r="AU83" i="7"/>
  <c r="AK83" i="6"/>
  <c r="AU83" i="6" s="1"/>
  <c r="AK83" i="2"/>
  <c r="AU83" i="2" s="1"/>
  <c r="AK83" i="5"/>
  <c r="AU83" i="5" s="1"/>
  <c r="AX7" i="1"/>
  <c r="AL7" i="14"/>
  <c r="AV7" i="14" s="1"/>
  <c r="AL7" i="13"/>
  <c r="AV7" i="13" s="1"/>
  <c r="AL7" i="11"/>
  <c r="AV7" i="11" s="1"/>
  <c r="AL7" i="10"/>
  <c r="AV7" i="10" s="1"/>
  <c r="AL7" i="9"/>
  <c r="AV7" i="9" s="1"/>
  <c r="AL7" i="12"/>
  <c r="AV7" i="12" s="1"/>
  <c r="AL7" i="8"/>
  <c r="AV7" i="8" s="1"/>
  <c r="AL7" i="7"/>
  <c r="AV7" i="7" s="1"/>
  <c r="AL7" i="6"/>
  <c r="AV7" i="6" s="1"/>
  <c r="AL7" i="2"/>
  <c r="AV7" i="2" s="1"/>
  <c r="AL7" i="5"/>
  <c r="AV7" i="5" s="1"/>
  <c r="BA9" i="1"/>
  <c r="AO9" i="14"/>
  <c r="AY9" i="14" s="1"/>
  <c r="AO9" i="13"/>
  <c r="AY9" i="13" s="1"/>
  <c r="AO9" i="12"/>
  <c r="AY9" i="12" s="1"/>
  <c r="AO9" i="9"/>
  <c r="AY9" i="9" s="1"/>
  <c r="AO9" i="11"/>
  <c r="AY9" i="11" s="1"/>
  <c r="AO9" i="10"/>
  <c r="AY9" i="10" s="1"/>
  <c r="AO9" i="8"/>
  <c r="AY9" i="8" s="1"/>
  <c r="AO9" i="7"/>
  <c r="AY9" i="7" s="1"/>
  <c r="AO9" i="6"/>
  <c r="AY9" i="6" s="1"/>
  <c r="AO9" i="2"/>
  <c r="AY9" i="2" s="1"/>
  <c r="AO9" i="5"/>
  <c r="AY9" i="5" s="1"/>
  <c r="BC8" i="1"/>
  <c r="AQ8" i="14"/>
  <c r="BA8" i="14" s="1"/>
  <c r="AQ8" i="13"/>
  <c r="BA8" i="13" s="1"/>
  <c r="AQ8" i="12"/>
  <c r="BA8" i="12" s="1"/>
  <c r="AQ8" i="10"/>
  <c r="BA8" i="10" s="1"/>
  <c r="AQ8" i="9"/>
  <c r="BA8" i="9" s="1"/>
  <c r="AQ8" i="11"/>
  <c r="BA8" i="11" s="1"/>
  <c r="AQ8" i="8"/>
  <c r="BA8" i="8" s="1"/>
  <c r="AQ8" i="7"/>
  <c r="BA8" i="7" s="1"/>
  <c r="AQ8" i="6"/>
  <c r="BA8" i="6" s="1"/>
  <c r="AQ8" i="5"/>
  <c r="BA8" i="5" s="1"/>
  <c r="AQ8" i="2"/>
  <c r="BA8" i="2" s="1"/>
  <c r="AU8" i="1"/>
  <c r="AI8" i="14"/>
  <c r="AS8" i="14" s="1"/>
  <c r="AI8" i="13"/>
  <c r="AS8" i="13" s="1"/>
  <c r="AI8" i="12"/>
  <c r="AS8" i="12" s="1"/>
  <c r="AI8" i="10"/>
  <c r="AS8" i="10" s="1"/>
  <c r="AI8" i="9"/>
  <c r="AS8" i="9" s="1"/>
  <c r="AI8" i="11"/>
  <c r="AS8" i="11" s="1"/>
  <c r="AI8" i="8"/>
  <c r="AS8" i="8" s="1"/>
  <c r="AI8" i="7"/>
  <c r="AS8" i="7" s="1"/>
  <c r="AS8" i="6"/>
  <c r="AI8" i="5"/>
  <c r="AS8" i="5" s="1"/>
  <c r="AI8" i="2"/>
  <c r="AS8" i="2" s="1"/>
  <c r="AZ15" i="1"/>
  <c r="AN15" i="14"/>
  <c r="AX15" i="14" s="1"/>
  <c r="AN15" i="12"/>
  <c r="AX15" i="12" s="1"/>
  <c r="AN15" i="11"/>
  <c r="AX15" i="11" s="1"/>
  <c r="AN15" i="13"/>
  <c r="AX15" i="13" s="1"/>
  <c r="AN15" i="8"/>
  <c r="AX15" i="8" s="1"/>
  <c r="AN15" i="10"/>
  <c r="AX15" i="10" s="1"/>
  <c r="AN15" i="9"/>
  <c r="AX15" i="9" s="1"/>
  <c r="AN15" i="7"/>
  <c r="AX15" i="7" s="1"/>
  <c r="AN15" i="6"/>
  <c r="AX15" i="6" s="1"/>
  <c r="AN15" i="5"/>
  <c r="AX15" i="5" s="1"/>
  <c r="AN15" i="2"/>
  <c r="AX15" i="2" s="1"/>
  <c r="AX16" i="1"/>
  <c r="AL16" i="14"/>
  <c r="AV16" i="14" s="1"/>
  <c r="AL16" i="13"/>
  <c r="AV16" i="13" s="1"/>
  <c r="AL16" i="11"/>
  <c r="AV16" i="11" s="1"/>
  <c r="AL16" i="12"/>
  <c r="AV16" i="12" s="1"/>
  <c r="AL16" i="10"/>
  <c r="AV16" i="10" s="1"/>
  <c r="AL16" i="9"/>
  <c r="AV16" i="9" s="1"/>
  <c r="AL16" i="8"/>
  <c r="AV16" i="8" s="1"/>
  <c r="AL16" i="7"/>
  <c r="AV16" i="7" s="1"/>
  <c r="AL16" i="5"/>
  <c r="AV16" i="5" s="1"/>
  <c r="AL16" i="2"/>
  <c r="AV16" i="2" s="1"/>
  <c r="AL16" i="6"/>
  <c r="AV16" i="6" s="1"/>
  <c r="AV17" i="1"/>
  <c r="AJ17" i="14"/>
  <c r="AT17" i="14" s="1"/>
  <c r="AJ17" i="12"/>
  <c r="AT17" i="12" s="1"/>
  <c r="AJ17" i="13"/>
  <c r="AT17" i="13" s="1"/>
  <c r="AJ17" i="11"/>
  <c r="AT17" i="11" s="1"/>
  <c r="AJ17" i="9"/>
  <c r="AT17" i="9" s="1"/>
  <c r="AJ17" i="8"/>
  <c r="AT17" i="8" s="1"/>
  <c r="AJ17" i="7"/>
  <c r="AT17" i="7" s="1"/>
  <c r="AJ17" i="6"/>
  <c r="AT17" i="6" s="1"/>
  <c r="AJ17" i="2"/>
  <c r="AT17" i="2" s="1"/>
  <c r="AJ17" i="5"/>
  <c r="AT17" i="5" s="1"/>
  <c r="AJ17" i="10"/>
  <c r="AT17" i="10" s="1"/>
  <c r="AT22" i="1"/>
  <c r="AH22" i="13"/>
  <c r="AR22" i="13" s="1"/>
  <c r="AH22" i="11"/>
  <c r="AR22" i="11" s="1"/>
  <c r="AH22" i="12"/>
  <c r="AR22" i="12" s="1"/>
  <c r="AH22" i="10"/>
  <c r="AR22" i="10" s="1"/>
  <c r="AH22" i="9"/>
  <c r="AR22" i="9" s="1"/>
  <c r="AH22" i="8"/>
  <c r="AR22" i="8" s="1"/>
  <c r="AH22" i="14"/>
  <c r="AR22" i="14" s="1"/>
  <c r="AH22" i="2"/>
  <c r="AR22" i="2" s="1"/>
  <c r="AH22" i="7"/>
  <c r="AR22" i="7" s="1"/>
  <c r="AR22" i="6"/>
  <c r="AH22" i="5"/>
  <c r="AR22" i="5" s="1"/>
  <c r="BB22" i="1"/>
  <c r="AP22" i="14"/>
  <c r="AZ22" i="14" s="1"/>
  <c r="AP22" i="11"/>
  <c r="AZ22" i="11" s="1"/>
  <c r="AP22" i="13"/>
  <c r="AZ22" i="13" s="1"/>
  <c r="AP22" i="12"/>
  <c r="AZ22" i="12" s="1"/>
  <c r="AP22" i="10"/>
  <c r="AZ22" i="10" s="1"/>
  <c r="AP22" i="9"/>
  <c r="AZ22" i="9" s="1"/>
  <c r="AP22" i="8"/>
  <c r="AZ22" i="8" s="1"/>
  <c r="AP22" i="2"/>
  <c r="AZ22" i="2" s="1"/>
  <c r="AP22" i="7"/>
  <c r="AZ22" i="7" s="1"/>
  <c r="AP22" i="6"/>
  <c r="AZ22" i="6" s="1"/>
  <c r="AP22" i="5"/>
  <c r="AZ22" i="5" s="1"/>
  <c r="AZ23" i="1"/>
  <c r="AN23" i="14"/>
  <c r="AX23" i="14" s="1"/>
  <c r="AN23" i="13"/>
  <c r="AX23" i="13" s="1"/>
  <c r="AN23" i="12"/>
  <c r="AX23" i="12" s="1"/>
  <c r="AN23" i="11"/>
  <c r="AX23" i="11" s="1"/>
  <c r="AN23" i="10"/>
  <c r="AX23" i="10" s="1"/>
  <c r="AN23" i="6"/>
  <c r="AX23" i="6" s="1"/>
  <c r="AN23" i="5"/>
  <c r="AX23" i="5" s="1"/>
  <c r="AN23" i="2"/>
  <c r="AX23" i="2" s="1"/>
  <c r="AN23" i="8"/>
  <c r="AX23" i="8" s="1"/>
  <c r="AN23" i="9"/>
  <c r="AX23" i="9" s="1"/>
  <c r="AN23" i="7"/>
  <c r="AX23" i="7" s="1"/>
  <c r="AX24" i="1"/>
  <c r="AL24" i="14"/>
  <c r="AV24" i="14" s="1"/>
  <c r="AL24" i="13"/>
  <c r="AV24" i="13" s="1"/>
  <c r="AL24" i="11"/>
  <c r="AV24" i="11" s="1"/>
  <c r="AL24" i="12"/>
  <c r="AV24" i="12" s="1"/>
  <c r="AL24" i="10"/>
  <c r="AV24" i="10" s="1"/>
  <c r="AL24" i="9"/>
  <c r="AV24" i="9" s="1"/>
  <c r="AL24" i="8"/>
  <c r="AV24" i="8" s="1"/>
  <c r="AL24" i="7"/>
  <c r="AV24" i="7" s="1"/>
  <c r="AL24" i="5"/>
  <c r="AV24" i="5" s="1"/>
  <c r="AL24" i="2"/>
  <c r="AV24" i="2" s="1"/>
  <c r="AL24" i="6"/>
  <c r="AV24" i="6" s="1"/>
  <c r="AV31" i="1"/>
  <c r="AJ31" i="14"/>
  <c r="AT31" i="14" s="1"/>
  <c r="AJ31" i="13"/>
  <c r="AT31" i="13" s="1"/>
  <c r="AJ31" i="12"/>
  <c r="AT31" i="12" s="1"/>
  <c r="AJ31" i="10"/>
  <c r="AT31" i="10" s="1"/>
  <c r="AJ31" i="11"/>
  <c r="AT31" i="11" s="1"/>
  <c r="AJ31" i="9"/>
  <c r="AT31" i="9" s="1"/>
  <c r="AJ31" i="6"/>
  <c r="AT31" i="6" s="1"/>
  <c r="AJ31" i="2"/>
  <c r="AT31" i="2" s="1"/>
  <c r="AJ31" i="8"/>
  <c r="AT31" i="8" s="1"/>
  <c r="AJ31" i="5"/>
  <c r="AT31" i="5" s="1"/>
  <c r="AJ31" i="7"/>
  <c r="AT31" i="7" s="1"/>
  <c r="BB32" i="1"/>
  <c r="AP32" i="14"/>
  <c r="AZ32" i="14" s="1"/>
  <c r="AP32" i="13"/>
  <c r="AZ32" i="13" s="1"/>
  <c r="AP32" i="12"/>
  <c r="AZ32" i="12" s="1"/>
  <c r="AP32" i="11"/>
  <c r="AZ32" i="11" s="1"/>
  <c r="AP32" i="10"/>
  <c r="AZ32" i="10" s="1"/>
  <c r="AP32" i="9"/>
  <c r="AZ32" i="9" s="1"/>
  <c r="AP32" i="8"/>
  <c r="AZ32" i="8" s="1"/>
  <c r="AP32" i="7"/>
  <c r="AZ32" i="7" s="1"/>
  <c r="AP32" i="2"/>
  <c r="AZ32" i="2" s="1"/>
  <c r="AP32" i="5"/>
  <c r="AZ32" i="5" s="1"/>
  <c r="AP32" i="6"/>
  <c r="AZ32" i="6" s="1"/>
  <c r="AZ33" i="1"/>
  <c r="AN33" i="14"/>
  <c r="AX33" i="14" s="1"/>
  <c r="AN33" i="12"/>
  <c r="AX33" i="12" s="1"/>
  <c r="AN33" i="13"/>
  <c r="AX33" i="13" s="1"/>
  <c r="AN33" i="11"/>
  <c r="AX33" i="11" s="1"/>
  <c r="AN33" i="10"/>
  <c r="AX33" i="10" s="1"/>
  <c r="AN33" i="8"/>
  <c r="AX33" i="8" s="1"/>
  <c r="AN33" i="7"/>
  <c r="AX33" i="7" s="1"/>
  <c r="AN33" i="6"/>
  <c r="AX33" i="6" s="1"/>
  <c r="AN33" i="2"/>
  <c r="AX33" i="2" s="1"/>
  <c r="AN33" i="9"/>
  <c r="AX33" i="9" s="1"/>
  <c r="AN33" i="5"/>
  <c r="AX33" i="5" s="1"/>
  <c r="AX41" i="1"/>
  <c r="AL41" i="14"/>
  <c r="AV41" i="14" s="1"/>
  <c r="AL41" i="13"/>
  <c r="AV41" i="13" s="1"/>
  <c r="AL41" i="12"/>
  <c r="AV41" i="12" s="1"/>
  <c r="AL41" i="11"/>
  <c r="AV41" i="11" s="1"/>
  <c r="AL41" i="9"/>
  <c r="AV41" i="9" s="1"/>
  <c r="AL41" i="10"/>
  <c r="AV41" i="10" s="1"/>
  <c r="AL41" i="8"/>
  <c r="AV41" i="8" s="1"/>
  <c r="AL41" i="5"/>
  <c r="AV41" i="5" s="1"/>
  <c r="AL41" i="6"/>
  <c r="AV41" i="6" s="1"/>
  <c r="AL41" i="7"/>
  <c r="AV41" i="7" s="1"/>
  <c r="AL41" i="2"/>
  <c r="AV41" i="2" s="1"/>
  <c r="AV42" i="1"/>
  <c r="AJ42" i="14"/>
  <c r="AT42" i="14" s="1"/>
  <c r="AJ42" i="13"/>
  <c r="AT42" i="13" s="1"/>
  <c r="AJ42" i="12"/>
  <c r="AT42" i="12" s="1"/>
  <c r="AJ42" i="10"/>
  <c r="AT42" i="10" s="1"/>
  <c r="AJ42" i="11"/>
  <c r="AT42" i="11" s="1"/>
  <c r="AJ42" i="9"/>
  <c r="AT42" i="9" s="1"/>
  <c r="AJ42" i="8"/>
  <c r="AT42" i="8" s="1"/>
  <c r="AJ42" i="7"/>
  <c r="AT42" i="7" s="1"/>
  <c r="AJ42" i="6"/>
  <c r="AT42" i="6" s="1"/>
  <c r="AJ42" i="5"/>
  <c r="AT42" i="5" s="1"/>
  <c r="AJ42" i="2"/>
  <c r="AT42" i="2" s="1"/>
  <c r="AZ42" i="1"/>
  <c r="AN42" i="14"/>
  <c r="AX42" i="14" s="1"/>
  <c r="AN42" i="13"/>
  <c r="AX42" i="13" s="1"/>
  <c r="AN42" i="12"/>
  <c r="AX42" i="12" s="1"/>
  <c r="AN42" i="11"/>
  <c r="AX42" i="11" s="1"/>
  <c r="AN42" i="10"/>
  <c r="AX42" i="10" s="1"/>
  <c r="AN42" i="8"/>
  <c r="AX42" i="8" s="1"/>
  <c r="AN42" i="7"/>
  <c r="AX42" i="7" s="1"/>
  <c r="AN42" i="9"/>
  <c r="AX42" i="9" s="1"/>
  <c r="AN42" i="2"/>
  <c r="AX42" i="2" s="1"/>
  <c r="AN42" i="5"/>
  <c r="AX42" i="5" s="1"/>
  <c r="AN42" i="6"/>
  <c r="AX42" i="6" s="1"/>
  <c r="AY43" i="1"/>
  <c r="AM43" i="14"/>
  <c r="AW43" i="14" s="1"/>
  <c r="AM43" i="13"/>
  <c r="AW43" i="13" s="1"/>
  <c r="AM43" i="11"/>
  <c r="AW43" i="11" s="1"/>
  <c r="AM43" i="12"/>
  <c r="AW43" i="12" s="1"/>
  <c r="AM43" i="9"/>
  <c r="AW43" i="9" s="1"/>
  <c r="AM43" i="8"/>
  <c r="AW43" i="8" s="1"/>
  <c r="AM43" i="10"/>
  <c r="AW43" i="10" s="1"/>
  <c r="AM43" i="7"/>
  <c r="AW43" i="7" s="1"/>
  <c r="AM43" i="2"/>
  <c r="AW43" i="2" s="1"/>
  <c r="AM43" i="6"/>
  <c r="AW43" i="6" s="1"/>
  <c r="AM43" i="5"/>
  <c r="AW43" i="5" s="1"/>
  <c r="AW55" i="1"/>
  <c r="AK55" i="14"/>
  <c r="AU55" i="14" s="1"/>
  <c r="AK55" i="12"/>
  <c r="AU55" i="12" s="1"/>
  <c r="AK55" i="13"/>
  <c r="AU55" i="13" s="1"/>
  <c r="AK55" i="10"/>
  <c r="AU55" i="10" s="1"/>
  <c r="AK55" i="11"/>
  <c r="AU55" i="11" s="1"/>
  <c r="AK55" i="9"/>
  <c r="AU55" i="9" s="1"/>
  <c r="AK55" i="8"/>
  <c r="AU55" i="8" s="1"/>
  <c r="AK55" i="7"/>
  <c r="AU55" i="7" s="1"/>
  <c r="AK55" i="6"/>
  <c r="AU55" i="6" s="1"/>
  <c r="AK55" i="5"/>
  <c r="AU55" i="5" s="1"/>
  <c r="AK55" i="2"/>
  <c r="AU55" i="2" s="1"/>
  <c r="AU56" i="1"/>
  <c r="AI56" i="14"/>
  <c r="AS56" i="14" s="1"/>
  <c r="AI56" i="13"/>
  <c r="AS56" i="13" s="1"/>
  <c r="AI56" i="12"/>
  <c r="AS56" i="12" s="1"/>
  <c r="AI56" i="11"/>
  <c r="AS56" i="11" s="1"/>
  <c r="AI56" i="10"/>
  <c r="AS56" i="10" s="1"/>
  <c r="AI56" i="9"/>
  <c r="AS56" i="9" s="1"/>
  <c r="AI56" i="8"/>
  <c r="AS56" i="8" s="1"/>
  <c r="AI56" i="7"/>
  <c r="AS56" i="7" s="1"/>
  <c r="AS56" i="6"/>
  <c r="AI56" i="5"/>
  <c r="AS56" i="5" s="1"/>
  <c r="AI56" i="2"/>
  <c r="AS56" i="2" s="1"/>
  <c r="BC56" i="1"/>
  <c r="AQ56" i="14"/>
  <c r="BA56" i="14" s="1"/>
  <c r="AQ56" i="13"/>
  <c r="BA56" i="13" s="1"/>
  <c r="AQ56" i="11"/>
  <c r="BA56" i="11" s="1"/>
  <c r="AQ56" i="10"/>
  <c r="BA56" i="10" s="1"/>
  <c r="AQ56" i="12"/>
  <c r="BA56" i="12" s="1"/>
  <c r="AQ56" i="9"/>
  <c r="BA56" i="9" s="1"/>
  <c r="AQ56" i="8"/>
  <c r="BA56" i="8" s="1"/>
  <c r="AQ56" i="6"/>
  <c r="BA56" i="6" s="1"/>
  <c r="AQ56" i="2"/>
  <c r="BA56" i="2" s="1"/>
  <c r="AQ56" i="5"/>
  <c r="BA56" i="5" s="1"/>
  <c r="AQ56" i="7"/>
  <c r="BA56" i="7" s="1"/>
  <c r="BA57" i="1"/>
  <c r="AO57" i="14"/>
  <c r="AY57" i="14" s="1"/>
  <c r="AO57" i="13"/>
  <c r="AY57" i="13" s="1"/>
  <c r="AO57" i="12"/>
  <c r="AY57" i="12" s="1"/>
  <c r="AO57" i="11"/>
  <c r="AY57" i="11" s="1"/>
  <c r="AO57" i="10"/>
  <c r="AY57" i="10" s="1"/>
  <c r="AO57" i="8"/>
  <c r="AY57" i="8" s="1"/>
  <c r="AO57" i="7"/>
  <c r="AY57" i="7" s="1"/>
  <c r="AO57" i="9"/>
  <c r="AY57" i="9" s="1"/>
  <c r="AO57" i="5"/>
  <c r="AY57" i="5" s="1"/>
  <c r="AO57" i="6"/>
  <c r="AY57" i="6" s="1"/>
  <c r="AO57" i="2"/>
  <c r="AY57" i="2" s="1"/>
  <c r="AY69" i="1"/>
  <c r="AM69" i="14"/>
  <c r="AW69" i="14" s="1"/>
  <c r="AM69" i="13"/>
  <c r="AW69" i="13" s="1"/>
  <c r="AM69" i="12"/>
  <c r="AW69" i="12" s="1"/>
  <c r="AM69" i="11"/>
  <c r="AW69" i="11" s="1"/>
  <c r="AM69" i="10"/>
  <c r="AW69" i="10" s="1"/>
  <c r="AM69" i="9"/>
  <c r="AW69" i="9" s="1"/>
  <c r="AM69" i="8"/>
  <c r="AW69" i="8" s="1"/>
  <c r="AM69" i="7"/>
  <c r="AW69" i="7" s="1"/>
  <c r="AM69" i="6"/>
  <c r="AW69" i="6" s="1"/>
  <c r="AM69" i="2"/>
  <c r="AW69" i="2" s="1"/>
  <c r="AM69" i="5"/>
  <c r="AW69" i="5" s="1"/>
  <c r="AW70" i="1"/>
  <c r="AK70" i="14"/>
  <c r="AU70" i="14" s="1"/>
  <c r="AK70" i="13"/>
  <c r="AU70" i="13" s="1"/>
  <c r="AK70" i="12"/>
  <c r="AU70" i="12" s="1"/>
  <c r="AK70" i="11"/>
  <c r="AU70" i="11" s="1"/>
  <c r="AK70" i="10"/>
  <c r="AU70" i="10" s="1"/>
  <c r="AK70" i="7"/>
  <c r="AU70" i="7" s="1"/>
  <c r="AK70" i="9"/>
  <c r="AU70" i="9" s="1"/>
  <c r="AK70" i="8"/>
  <c r="AU70" i="8" s="1"/>
  <c r="AK70" i="6"/>
  <c r="AU70" i="6" s="1"/>
  <c r="AK70" i="5"/>
  <c r="AU70" i="5" s="1"/>
  <c r="AK70" i="2"/>
  <c r="AU70" i="2" s="1"/>
  <c r="BA70" i="1"/>
  <c r="AO70" i="14"/>
  <c r="AY70" i="14" s="1"/>
  <c r="AO70" i="13"/>
  <c r="AY70" i="13" s="1"/>
  <c r="AO70" i="12"/>
  <c r="AY70" i="12" s="1"/>
  <c r="AO70" i="11"/>
  <c r="AY70" i="11" s="1"/>
  <c r="AO70" i="10"/>
  <c r="AY70" i="10" s="1"/>
  <c r="AO70" i="9"/>
  <c r="AY70" i="9" s="1"/>
  <c r="AO70" i="7"/>
  <c r="AY70" i="7" s="1"/>
  <c r="AO70" i="8"/>
  <c r="AY70" i="8" s="1"/>
  <c r="AO70" i="6"/>
  <c r="AY70" i="6" s="1"/>
  <c r="AO70" i="5"/>
  <c r="AY70" i="5" s="1"/>
  <c r="AO70" i="2"/>
  <c r="AY70" i="2" s="1"/>
  <c r="AY71" i="1"/>
  <c r="AM71" i="14"/>
  <c r="AW71" i="14" s="1"/>
  <c r="AM71" i="12"/>
  <c r="AW71" i="12" s="1"/>
  <c r="AM71" i="11"/>
  <c r="AW71" i="11" s="1"/>
  <c r="AM71" i="10"/>
  <c r="AW71" i="10" s="1"/>
  <c r="AM71" i="13"/>
  <c r="AW71" i="13" s="1"/>
  <c r="AM71" i="9"/>
  <c r="AW71" i="9" s="1"/>
  <c r="AM71" i="8"/>
  <c r="AW71" i="8" s="1"/>
  <c r="AM71" i="7"/>
  <c r="AW71" i="7" s="1"/>
  <c r="AM71" i="6"/>
  <c r="AW71" i="6" s="1"/>
  <c r="AM71" i="5"/>
  <c r="AW71" i="5" s="1"/>
  <c r="AM71" i="2"/>
  <c r="AW71" i="2" s="1"/>
  <c r="AW81" i="1"/>
  <c r="AK81" i="14"/>
  <c r="AU81" i="14" s="1"/>
  <c r="AK81" i="13"/>
  <c r="AU81" i="13" s="1"/>
  <c r="AK81" i="12"/>
  <c r="AU81" i="12" s="1"/>
  <c r="AK81" i="11"/>
  <c r="AU81" i="11" s="1"/>
  <c r="AK81" i="10"/>
  <c r="AU81" i="10" s="1"/>
  <c r="AK81" i="9"/>
  <c r="AU81" i="9" s="1"/>
  <c r="AK81" i="8"/>
  <c r="AU81" i="8" s="1"/>
  <c r="AU81" i="7"/>
  <c r="AK81" i="5"/>
  <c r="AU81" i="5" s="1"/>
  <c r="AK81" i="6"/>
  <c r="AU81" i="6" s="1"/>
  <c r="AK81" i="2"/>
  <c r="AU81" i="2" s="1"/>
  <c r="AU82" i="1"/>
  <c r="AI82" i="14"/>
  <c r="AS82" i="14" s="1"/>
  <c r="AI82" i="13"/>
  <c r="AS82" i="13" s="1"/>
  <c r="AI82" i="12"/>
  <c r="AS82" i="12" s="1"/>
  <c r="AI82" i="11"/>
  <c r="AS82" i="11" s="1"/>
  <c r="AI82" i="10"/>
  <c r="AS82" i="10" s="1"/>
  <c r="AI82" i="9"/>
  <c r="AS82" i="9" s="1"/>
  <c r="AI82" i="8"/>
  <c r="AS82" i="8" s="1"/>
  <c r="AS82" i="6"/>
  <c r="AI82" i="2"/>
  <c r="AS82" i="2" s="1"/>
  <c r="AI82" i="5"/>
  <c r="AS82" i="5" s="1"/>
  <c r="BC82" i="1"/>
  <c r="AQ82" i="14"/>
  <c r="BA82" i="14" s="1"/>
  <c r="AQ82" i="13"/>
  <c r="BA82" i="13" s="1"/>
  <c r="AQ82" i="12"/>
  <c r="BA82" i="12" s="1"/>
  <c r="AQ82" i="11"/>
  <c r="BA82" i="11" s="1"/>
  <c r="AQ82" i="10"/>
  <c r="BA82" i="10" s="1"/>
  <c r="AQ82" i="9"/>
  <c r="BA82" i="9" s="1"/>
  <c r="AQ82" i="8"/>
  <c r="BA82" i="8" s="1"/>
  <c r="BA82" i="7"/>
  <c r="AQ82" i="6"/>
  <c r="BA82" i="6" s="1"/>
  <c r="AQ82" i="5"/>
  <c r="BA82" i="5" s="1"/>
  <c r="AQ82" i="2"/>
  <c r="BA82" i="2" s="1"/>
  <c r="BB83" i="1"/>
  <c r="AP83" i="14"/>
  <c r="AZ83" i="14" s="1"/>
  <c r="AP83" i="13"/>
  <c r="AZ83" i="13" s="1"/>
  <c r="AP83" i="12"/>
  <c r="AZ83" i="12" s="1"/>
  <c r="AP83" i="10"/>
  <c r="AZ83" i="10" s="1"/>
  <c r="AP83" i="11"/>
  <c r="AZ83" i="11" s="1"/>
  <c r="AP83" i="9"/>
  <c r="AZ83" i="9" s="1"/>
  <c r="AP83" i="8"/>
  <c r="AZ83" i="8" s="1"/>
  <c r="AP83" i="6"/>
  <c r="AZ83" i="6" s="1"/>
  <c r="AZ83" i="7"/>
  <c r="AP83" i="5"/>
  <c r="AZ83" i="5" s="1"/>
  <c r="AP83" i="2"/>
  <c r="AZ83" i="2" s="1"/>
  <c r="AU7" i="1"/>
  <c r="AI7" i="14"/>
  <c r="AS7" i="14" s="1"/>
  <c r="AI7" i="13"/>
  <c r="AS7" i="13" s="1"/>
  <c r="AI7" i="12"/>
  <c r="AS7" i="12" s="1"/>
  <c r="AI7" i="10"/>
  <c r="AS7" i="10" s="1"/>
  <c r="AI7" i="11"/>
  <c r="AS7" i="11" s="1"/>
  <c r="AI7" i="9"/>
  <c r="AS7" i="9" s="1"/>
  <c r="AI7" i="8"/>
  <c r="AS7" i="8" s="1"/>
  <c r="AI7" i="2"/>
  <c r="AS7" i="2" s="1"/>
  <c r="AI7" i="7"/>
  <c r="AS7" i="7" s="1"/>
  <c r="AS7" i="6"/>
  <c r="AI7" i="5"/>
  <c r="AS7" i="5" s="1"/>
  <c r="AY7" i="1"/>
  <c r="AM7" i="14"/>
  <c r="AW7" i="14" s="1"/>
  <c r="AM7" i="13"/>
  <c r="AW7" i="13" s="1"/>
  <c r="AM7" i="12"/>
  <c r="AW7" i="12" s="1"/>
  <c r="AM7" i="10"/>
  <c r="AW7" i="10" s="1"/>
  <c r="AM7" i="11"/>
  <c r="AW7" i="11" s="1"/>
  <c r="AM7" i="8"/>
  <c r="AW7" i="8" s="1"/>
  <c r="AM7" i="9"/>
  <c r="AW7" i="9" s="1"/>
  <c r="AM7" i="2"/>
  <c r="AW7" i="2" s="1"/>
  <c r="AM7" i="7"/>
  <c r="AW7" i="7" s="1"/>
  <c r="AM7" i="6"/>
  <c r="AW7" i="6" s="1"/>
  <c r="AM7" i="5"/>
  <c r="AW7" i="5" s="1"/>
  <c r="BC7" i="1"/>
  <c r="AQ7" i="14"/>
  <c r="BA7" i="14" s="1"/>
  <c r="AQ7" i="13"/>
  <c r="BA7" i="13" s="1"/>
  <c r="AQ7" i="12"/>
  <c r="BA7" i="12" s="1"/>
  <c r="AQ7" i="10"/>
  <c r="BA7" i="10" s="1"/>
  <c r="AQ7" i="11"/>
  <c r="BA7" i="11" s="1"/>
  <c r="AQ7" i="8"/>
  <c r="BA7" i="8" s="1"/>
  <c r="AQ7" i="2"/>
  <c r="BA7" i="2" s="1"/>
  <c r="AQ7" i="7"/>
  <c r="BA7" i="7" s="1"/>
  <c r="AQ7" i="6"/>
  <c r="BA7" i="6" s="1"/>
  <c r="AQ7" i="5"/>
  <c r="BA7" i="5" s="1"/>
  <c r="AQ7" i="9"/>
  <c r="BA7" i="9" s="1"/>
  <c r="AZ9" i="1"/>
  <c r="AN9" i="14"/>
  <c r="AX9" i="14" s="1"/>
  <c r="AN9" i="12"/>
  <c r="AX9" i="12" s="1"/>
  <c r="AN9" i="13"/>
  <c r="AX9" i="13" s="1"/>
  <c r="AN9" i="11"/>
  <c r="AX9" i="11" s="1"/>
  <c r="AN9" i="10"/>
  <c r="AX9" i="10" s="1"/>
  <c r="AN9" i="8"/>
  <c r="AX9" i="8" s="1"/>
  <c r="AN9" i="7"/>
  <c r="AX9" i="7" s="1"/>
  <c r="AN9" i="6"/>
  <c r="AX9" i="6" s="1"/>
  <c r="AN9" i="2"/>
  <c r="AX9" i="2" s="1"/>
  <c r="AN9" i="9"/>
  <c r="AX9" i="9" s="1"/>
  <c r="AN9" i="5"/>
  <c r="AX9" i="5" s="1"/>
  <c r="AV9" i="1"/>
  <c r="AJ9" i="14"/>
  <c r="AT9" i="14" s="1"/>
  <c r="AJ9" i="12"/>
  <c r="AT9" i="12" s="1"/>
  <c r="AJ9" i="13"/>
  <c r="AT9" i="13" s="1"/>
  <c r="AJ9" i="11"/>
  <c r="AT9" i="11" s="1"/>
  <c r="AJ9" i="9"/>
  <c r="AT9" i="9" s="1"/>
  <c r="AJ9" i="8"/>
  <c r="AT9" i="8" s="1"/>
  <c r="AJ9" i="7"/>
  <c r="AT9" i="7" s="1"/>
  <c r="AJ9" i="6"/>
  <c r="AT9" i="6" s="1"/>
  <c r="AJ9" i="2"/>
  <c r="AT9" i="2" s="1"/>
  <c r="AJ9" i="5"/>
  <c r="AT9" i="5" s="1"/>
  <c r="AJ9" i="10"/>
  <c r="AT9" i="10" s="1"/>
  <c r="BB8" i="1"/>
  <c r="AP8" i="14"/>
  <c r="AZ8" i="14" s="1"/>
  <c r="AP8" i="13"/>
  <c r="AZ8" i="13" s="1"/>
  <c r="AP8" i="11"/>
  <c r="AZ8" i="11" s="1"/>
  <c r="AP8" i="12"/>
  <c r="AZ8" i="12" s="1"/>
  <c r="AP8" i="10"/>
  <c r="AZ8" i="10" s="1"/>
  <c r="AP8" i="9"/>
  <c r="AZ8" i="9" s="1"/>
  <c r="AP8" i="8"/>
  <c r="AZ8" i="8" s="1"/>
  <c r="AP8" i="5"/>
  <c r="AZ8" i="5" s="1"/>
  <c r="AP8" i="2"/>
  <c r="AZ8" i="2" s="1"/>
  <c r="AP8" i="6"/>
  <c r="AZ8" i="6" s="1"/>
  <c r="AP8" i="7"/>
  <c r="AZ8" i="7" s="1"/>
  <c r="AX8" i="1"/>
  <c r="AL8" i="14"/>
  <c r="AV8" i="14" s="1"/>
  <c r="AL8" i="13"/>
  <c r="AV8" i="13" s="1"/>
  <c r="AL8" i="11"/>
  <c r="AV8" i="11" s="1"/>
  <c r="AL8" i="12"/>
  <c r="AV8" i="12" s="1"/>
  <c r="AL8" i="10"/>
  <c r="AV8" i="10" s="1"/>
  <c r="AL8" i="8"/>
  <c r="AV8" i="8" s="1"/>
  <c r="AL8" i="5"/>
  <c r="AV8" i="5" s="1"/>
  <c r="AL8" i="9"/>
  <c r="AV8" i="9" s="1"/>
  <c r="AL8" i="2"/>
  <c r="AV8" i="2" s="1"/>
  <c r="AL8" i="7"/>
  <c r="AV8" i="7" s="1"/>
  <c r="AL8" i="6"/>
  <c r="AV8" i="6" s="1"/>
  <c r="AT8" i="1"/>
  <c r="AH8" i="14"/>
  <c r="AR8" i="14" s="1"/>
  <c r="AH8" i="13"/>
  <c r="AR8" i="13" s="1"/>
  <c r="AH8" i="11"/>
  <c r="AR8" i="11" s="1"/>
  <c r="AH8" i="12"/>
  <c r="AR8" i="12" s="1"/>
  <c r="AH8" i="10"/>
  <c r="AR8" i="10" s="1"/>
  <c r="AH8" i="8"/>
  <c r="AR8" i="8" s="1"/>
  <c r="AH8" i="9"/>
  <c r="AR8" i="9" s="1"/>
  <c r="AH8" i="5"/>
  <c r="AR8" i="5" s="1"/>
  <c r="AH8" i="2"/>
  <c r="AR8" i="2" s="1"/>
  <c r="AH8" i="7"/>
  <c r="AR8" i="7" s="1"/>
  <c r="AR8" i="6"/>
  <c r="AW15" i="1"/>
  <c r="AK15" i="14"/>
  <c r="AU15" i="14" s="1"/>
  <c r="AK15" i="13"/>
  <c r="AU15" i="13" s="1"/>
  <c r="AK15" i="12"/>
  <c r="AU15" i="12" s="1"/>
  <c r="AK15" i="11"/>
  <c r="AU15" i="11" s="1"/>
  <c r="AK15" i="10"/>
  <c r="AU15" i="10" s="1"/>
  <c r="AK15" i="9"/>
  <c r="AU15" i="9" s="1"/>
  <c r="AK15" i="7"/>
  <c r="AU15" i="7" s="1"/>
  <c r="AK15" i="6"/>
  <c r="AU15" i="6" s="1"/>
  <c r="AK15" i="5"/>
  <c r="AU15" i="5" s="1"/>
  <c r="AK15" i="8"/>
  <c r="AU15" i="8" s="1"/>
  <c r="AK15" i="2"/>
  <c r="AU15" i="2" s="1"/>
  <c r="BA15" i="1"/>
  <c r="AO15" i="14"/>
  <c r="AY15" i="14" s="1"/>
  <c r="AO15" i="13"/>
  <c r="AY15" i="13" s="1"/>
  <c r="AO15" i="12"/>
  <c r="AY15" i="12" s="1"/>
  <c r="AO15" i="11"/>
  <c r="AY15" i="11" s="1"/>
  <c r="AO15" i="10"/>
  <c r="AY15" i="10" s="1"/>
  <c r="AO15" i="9"/>
  <c r="AY15" i="9" s="1"/>
  <c r="AO15" i="8"/>
  <c r="AY15" i="8" s="1"/>
  <c r="AO15" i="7"/>
  <c r="AY15" i="7" s="1"/>
  <c r="AO15" i="6"/>
  <c r="AY15" i="6" s="1"/>
  <c r="AO15" i="5"/>
  <c r="AY15" i="5" s="1"/>
  <c r="AO15" i="2"/>
  <c r="AY15" i="2" s="1"/>
  <c r="AU16" i="1"/>
  <c r="AI16" i="14"/>
  <c r="AS16" i="14" s="1"/>
  <c r="AI16" i="13"/>
  <c r="AS16" i="13" s="1"/>
  <c r="AI16" i="12"/>
  <c r="AS16" i="12" s="1"/>
  <c r="AI16" i="10"/>
  <c r="AS16" i="10" s="1"/>
  <c r="AI16" i="9"/>
  <c r="AS16" i="9" s="1"/>
  <c r="AI16" i="11"/>
  <c r="AS16" i="11" s="1"/>
  <c r="AI16" i="8"/>
  <c r="AS16" i="8" s="1"/>
  <c r="AS16" i="6"/>
  <c r="AI16" i="2"/>
  <c r="AS16" i="2" s="1"/>
  <c r="AI16" i="7"/>
  <c r="AS16" i="7" s="1"/>
  <c r="AI16" i="5"/>
  <c r="AS16" i="5" s="1"/>
  <c r="AY16" i="1"/>
  <c r="AM16" i="14"/>
  <c r="AW16" i="14" s="1"/>
  <c r="AM16" i="13"/>
  <c r="AW16" i="13" s="1"/>
  <c r="AM16" i="12"/>
  <c r="AW16" i="12" s="1"/>
  <c r="AM16" i="11"/>
  <c r="AW16" i="11" s="1"/>
  <c r="AM16" i="10"/>
  <c r="AW16" i="10" s="1"/>
  <c r="AM16" i="9"/>
  <c r="AW16" i="9" s="1"/>
  <c r="AM16" i="8"/>
  <c r="AW16" i="8" s="1"/>
  <c r="AM16" i="6"/>
  <c r="AW16" i="6" s="1"/>
  <c r="AM16" i="7"/>
  <c r="AW16" i="7" s="1"/>
  <c r="AM16" i="2"/>
  <c r="AW16" i="2" s="1"/>
  <c r="AM16" i="5"/>
  <c r="AW16" i="5" s="1"/>
  <c r="BC16" i="1"/>
  <c r="AQ16" i="14"/>
  <c r="BA16" i="14" s="1"/>
  <c r="AQ16" i="13"/>
  <c r="BA16" i="13" s="1"/>
  <c r="AQ16" i="12"/>
  <c r="BA16" i="12" s="1"/>
  <c r="AQ16" i="10"/>
  <c r="BA16" i="10" s="1"/>
  <c r="AQ16" i="9"/>
  <c r="BA16" i="9" s="1"/>
  <c r="AQ16" i="11"/>
  <c r="BA16" i="11" s="1"/>
  <c r="AQ16" i="8"/>
  <c r="BA16" i="8" s="1"/>
  <c r="AQ16" i="6"/>
  <c r="BA16" i="6" s="1"/>
  <c r="AQ16" i="5"/>
  <c r="BA16" i="5" s="1"/>
  <c r="AQ16" i="2"/>
  <c r="BA16" i="2" s="1"/>
  <c r="AQ16" i="7"/>
  <c r="BA16" i="7" s="1"/>
  <c r="AW17" i="1"/>
  <c r="AK17" i="14"/>
  <c r="AU17" i="14" s="1"/>
  <c r="AK17" i="13"/>
  <c r="AU17" i="13" s="1"/>
  <c r="AK17" i="12"/>
  <c r="AU17" i="12" s="1"/>
  <c r="AK17" i="11"/>
  <c r="AU17" i="11" s="1"/>
  <c r="AK17" i="9"/>
  <c r="AU17" i="9" s="1"/>
  <c r="AK17" i="8"/>
  <c r="AU17" i="8" s="1"/>
  <c r="AK17" i="10"/>
  <c r="AU17" i="10" s="1"/>
  <c r="AK17" i="6"/>
  <c r="AU17" i="6" s="1"/>
  <c r="AK17" i="5"/>
  <c r="AU17" i="5" s="1"/>
  <c r="AK17" i="2"/>
  <c r="AU17" i="2" s="1"/>
  <c r="AK17" i="7"/>
  <c r="AU17" i="7" s="1"/>
  <c r="BA17" i="1"/>
  <c r="AO17" i="14"/>
  <c r="AY17" i="14" s="1"/>
  <c r="AO17" i="13"/>
  <c r="AY17" i="13" s="1"/>
  <c r="AO17" i="12"/>
  <c r="AY17" i="12" s="1"/>
  <c r="AO17" i="9"/>
  <c r="AY17" i="9" s="1"/>
  <c r="AO17" i="10"/>
  <c r="AY17" i="10" s="1"/>
  <c r="AO17" i="8"/>
  <c r="AY17" i="8" s="1"/>
  <c r="AO17" i="11"/>
  <c r="AY17" i="11" s="1"/>
  <c r="AO17" i="6"/>
  <c r="AY17" i="6" s="1"/>
  <c r="AO17" i="7"/>
  <c r="AY17" i="7" s="1"/>
  <c r="AO17" i="2"/>
  <c r="AY17" i="2" s="1"/>
  <c r="AO17" i="5"/>
  <c r="AY17" i="5" s="1"/>
  <c r="AU22" i="1"/>
  <c r="AI22" i="14"/>
  <c r="AS22" i="14" s="1"/>
  <c r="AI22" i="13"/>
  <c r="AS22" i="13" s="1"/>
  <c r="AI22" i="12"/>
  <c r="AS22" i="12" s="1"/>
  <c r="AI22" i="10"/>
  <c r="AS22" i="10" s="1"/>
  <c r="AI22" i="9"/>
  <c r="AS22" i="9" s="1"/>
  <c r="AI22" i="11"/>
  <c r="AS22" i="11" s="1"/>
  <c r="AI22" i="8"/>
  <c r="AS22" i="8" s="1"/>
  <c r="AI22" i="7"/>
  <c r="AS22" i="7" s="1"/>
  <c r="AS22" i="6"/>
  <c r="AI22" i="5"/>
  <c r="AS22" i="5" s="1"/>
  <c r="AI22" i="2"/>
  <c r="AS22" i="2" s="1"/>
  <c r="AY22" i="1"/>
  <c r="AM22" i="14"/>
  <c r="AW22" i="14" s="1"/>
  <c r="AM22" i="13"/>
  <c r="AW22" i="13" s="1"/>
  <c r="AM22" i="12"/>
  <c r="AW22" i="12" s="1"/>
  <c r="AM22" i="11"/>
  <c r="AW22" i="11" s="1"/>
  <c r="AM22" i="10"/>
  <c r="AW22" i="10" s="1"/>
  <c r="AM22" i="9"/>
  <c r="AW22" i="9" s="1"/>
  <c r="AM22" i="7"/>
  <c r="AW22" i="7" s="1"/>
  <c r="AM22" i="6"/>
  <c r="AW22" i="6" s="1"/>
  <c r="AM22" i="2"/>
  <c r="AW22" i="2" s="1"/>
  <c r="AM22" i="8"/>
  <c r="AW22" i="8" s="1"/>
  <c r="AM22" i="5"/>
  <c r="AW22" i="5" s="1"/>
  <c r="BC22" i="1"/>
  <c r="AQ22" i="14"/>
  <c r="BA22" i="14" s="1"/>
  <c r="AQ22" i="13"/>
  <c r="BA22" i="13" s="1"/>
  <c r="AQ22" i="12"/>
  <c r="BA22" i="12" s="1"/>
  <c r="AQ22" i="10"/>
  <c r="BA22" i="10" s="1"/>
  <c r="AQ22" i="9"/>
  <c r="BA22" i="9" s="1"/>
  <c r="AQ22" i="11"/>
  <c r="BA22" i="11" s="1"/>
  <c r="AQ22" i="7"/>
  <c r="BA22" i="7" s="1"/>
  <c r="AQ22" i="8"/>
  <c r="BA22" i="8" s="1"/>
  <c r="AQ22" i="6"/>
  <c r="BA22" i="6" s="1"/>
  <c r="AQ22" i="5"/>
  <c r="BA22" i="5" s="1"/>
  <c r="AQ22" i="2"/>
  <c r="BA22" i="2" s="1"/>
  <c r="AW23" i="1"/>
  <c r="AK23" i="14"/>
  <c r="AU23" i="14" s="1"/>
  <c r="AK23" i="12"/>
  <c r="AU23" i="12" s="1"/>
  <c r="AK23" i="11"/>
  <c r="AU23" i="11" s="1"/>
  <c r="AK23" i="10"/>
  <c r="AU23" i="10" s="1"/>
  <c r="AK23" i="9"/>
  <c r="AU23" i="9" s="1"/>
  <c r="AK23" i="8"/>
  <c r="AU23" i="8" s="1"/>
  <c r="AK23" i="6"/>
  <c r="AU23" i="6" s="1"/>
  <c r="AK23" i="5"/>
  <c r="AU23" i="5" s="1"/>
  <c r="AK23" i="7"/>
  <c r="AU23" i="7" s="1"/>
  <c r="AK23" i="2"/>
  <c r="AU23" i="2" s="1"/>
  <c r="AK23" i="13"/>
  <c r="AU23" i="13" s="1"/>
  <c r="BA23" i="1"/>
  <c r="AO23" i="14"/>
  <c r="AY23" i="14" s="1"/>
  <c r="AO23" i="13"/>
  <c r="AY23" i="13" s="1"/>
  <c r="AO23" i="12"/>
  <c r="AY23" i="12" s="1"/>
  <c r="AO23" i="10"/>
  <c r="AY23" i="10" s="1"/>
  <c r="AO23" i="11"/>
  <c r="AY23" i="11" s="1"/>
  <c r="AO23" i="9"/>
  <c r="AY23" i="9" s="1"/>
  <c r="AO23" i="8"/>
  <c r="AY23" i="8" s="1"/>
  <c r="AO23" i="6"/>
  <c r="AY23" i="6" s="1"/>
  <c r="AO23" i="5"/>
  <c r="AY23" i="5" s="1"/>
  <c r="AO23" i="7"/>
  <c r="AY23" i="7" s="1"/>
  <c r="AO23" i="2"/>
  <c r="AY23" i="2" s="1"/>
  <c r="AU24" i="1"/>
  <c r="AI24" i="14"/>
  <c r="AS24" i="14" s="1"/>
  <c r="AI24" i="13"/>
  <c r="AS24" i="13" s="1"/>
  <c r="AI24" i="11"/>
  <c r="AS24" i="11" s="1"/>
  <c r="AI24" i="12"/>
  <c r="AS24" i="12" s="1"/>
  <c r="AI24" i="10"/>
  <c r="AS24" i="10" s="1"/>
  <c r="AI24" i="9"/>
  <c r="AS24" i="9" s="1"/>
  <c r="AI24" i="8"/>
  <c r="AS24" i="8" s="1"/>
  <c r="AS24" i="6"/>
  <c r="AI24" i="2"/>
  <c r="AS24" i="2" s="1"/>
  <c r="AI24" i="7"/>
  <c r="AS24" i="7" s="1"/>
  <c r="AI24" i="5"/>
  <c r="AS24" i="5" s="1"/>
  <c r="AY24" i="1"/>
  <c r="AM24" i="14"/>
  <c r="AW24" i="14" s="1"/>
  <c r="AM24" i="13"/>
  <c r="AW24" i="13" s="1"/>
  <c r="AM24" i="11"/>
  <c r="AW24" i="11" s="1"/>
  <c r="AM24" i="12"/>
  <c r="AW24" i="12" s="1"/>
  <c r="AM24" i="10"/>
  <c r="AW24" i="10" s="1"/>
  <c r="AM24" i="9"/>
  <c r="AW24" i="9" s="1"/>
  <c r="AM24" i="8"/>
  <c r="AW24" i="8" s="1"/>
  <c r="AM24" i="6"/>
  <c r="AW24" i="6" s="1"/>
  <c r="AM24" i="7"/>
  <c r="AW24" i="7" s="1"/>
  <c r="AM24" i="2"/>
  <c r="AW24" i="2" s="1"/>
  <c r="AM24" i="5"/>
  <c r="AW24" i="5" s="1"/>
  <c r="BC24" i="1"/>
  <c r="AQ24" i="14"/>
  <c r="BA24" i="14" s="1"/>
  <c r="AQ24" i="13"/>
  <c r="BA24" i="13" s="1"/>
  <c r="AQ24" i="11"/>
  <c r="BA24" i="11" s="1"/>
  <c r="AQ24" i="12"/>
  <c r="BA24" i="12" s="1"/>
  <c r="AQ24" i="10"/>
  <c r="BA24" i="10" s="1"/>
  <c r="AQ24" i="9"/>
  <c r="BA24" i="9" s="1"/>
  <c r="AQ24" i="8"/>
  <c r="BA24" i="8" s="1"/>
  <c r="AQ24" i="6"/>
  <c r="BA24" i="6" s="1"/>
  <c r="AQ24" i="2"/>
  <c r="BA24" i="2" s="1"/>
  <c r="AQ24" i="7"/>
  <c r="BA24" i="7" s="1"/>
  <c r="AQ24" i="5"/>
  <c r="BA24" i="5" s="1"/>
  <c r="AW31" i="1"/>
  <c r="AK31" i="14"/>
  <c r="AU31" i="14" s="1"/>
  <c r="AK31" i="13"/>
  <c r="AU31" i="13" s="1"/>
  <c r="AK31" i="12"/>
  <c r="AU31" i="12" s="1"/>
  <c r="AK31" i="10"/>
  <c r="AU31" i="10" s="1"/>
  <c r="AK31" i="11"/>
  <c r="AU31" i="11" s="1"/>
  <c r="AK31" i="9"/>
  <c r="AU31" i="9" s="1"/>
  <c r="AK31" i="8"/>
  <c r="AU31" i="8" s="1"/>
  <c r="AK31" i="6"/>
  <c r="AU31" i="6" s="1"/>
  <c r="AK31" i="5"/>
  <c r="AU31" i="5" s="1"/>
  <c r="AK31" i="7"/>
  <c r="AU31" i="7" s="1"/>
  <c r="AK31" i="2"/>
  <c r="AU31" i="2" s="1"/>
  <c r="BA31" i="1"/>
  <c r="AO31" i="14"/>
  <c r="AY31" i="14" s="1"/>
  <c r="AO31" i="13"/>
  <c r="AY31" i="13" s="1"/>
  <c r="AO31" i="12"/>
  <c r="AY31" i="12" s="1"/>
  <c r="AO31" i="10"/>
  <c r="AY31" i="10" s="1"/>
  <c r="AO31" i="11"/>
  <c r="AY31" i="11" s="1"/>
  <c r="AO31" i="9"/>
  <c r="AY31" i="9" s="1"/>
  <c r="AO31" i="8"/>
  <c r="AY31" i="8" s="1"/>
  <c r="AO31" i="6"/>
  <c r="AY31" i="6" s="1"/>
  <c r="AO31" i="5"/>
  <c r="AY31" i="5" s="1"/>
  <c r="AO31" i="7"/>
  <c r="AY31" i="7" s="1"/>
  <c r="AO31" i="2"/>
  <c r="AY31" i="2" s="1"/>
  <c r="AU32" i="1"/>
  <c r="AI32" i="14"/>
  <c r="AS32" i="14" s="1"/>
  <c r="AI32" i="13"/>
  <c r="AS32" i="13" s="1"/>
  <c r="AI32" i="11"/>
  <c r="AS32" i="11" s="1"/>
  <c r="AI32" i="10"/>
  <c r="AS32" i="10" s="1"/>
  <c r="AI32" i="9"/>
  <c r="AS32" i="9" s="1"/>
  <c r="AI32" i="8"/>
  <c r="AS32" i="8" s="1"/>
  <c r="AI32" i="12"/>
  <c r="AS32" i="12" s="1"/>
  <c r="AS32" i="6"/>
  <c r="AI32" i="2"/>
  <c r="AS32" i="2" s="1"/>
  <c r="AI32" i="7"/>
  <c r="AS32" i="7" s="1"/>
  <c r="AI32" i="5"/>
  <c r="AS32" i="5" s="1"/>
  <c r="AY32" i="1"/>
  <c r="AM32" i="14"/>
  <c r="AW32" i="14" s="1"/>
  <c r="AM32" i="11"/>
  <c r="AW32" i="11" s="1"/>
  <c r="AM32" i="13"/>
  <c r="AW32" i="13" s="1"/>
  <c r="AM32" i="10"/>
  <c r="AW32" i="10" s="1"/>
  <c r="AM32" i="9"/>
  <c r="AW32" i="9" s="1"/>
  <c r="AM32" i="12"/>
  <c r="AW32" i="12" s="1"/>
  <c r="AM32" i="8"/>
  <c r="AW32" i="8" s="1"/>
  <c r="AM32" i="6"/>
  <c r="AW32" i="6" s="1"/>
  <c r="AM32" i="5"/>
  <c r="AW32" i="5" s="1"/>
  <c r="AM32" i="2"/>
  <c r="AW32" i="2" s="1"/>
  <c r="AM32" i="7"/>
  <c r="AW32" i="7" s="1"/>
  <c r="BC32" i="1"/>
  <c r="AQ32" i="14"/>
  <c r="BA32" i="14" s="1"/>
  <c r="AQ32" i="13"/>
  <c r="BA32" i="13" s="1"/>
  <c r="AQ32" i="11"/>
  <c r="BA32" i="11" s="1"/>
  <c r="AQ32" i="10"/>
  <c r="BA32" i="10" s="1"/>
  <c r="AQ32" i="9"/>
  <c r="BA32" i="9" s="1"/>
  <c r="AQ32" i="12"/>
  <c r="BA32" i="12" s="1"/>
  <c r="AQ32" i="8"/>
  <c r="BA32" i="8" s="1"/>
  <c r="AQ32" i="6"/>
  <c r="BA32" i="6" s="1"/>
  <c r="AQ32" i="7"/>
  <c r="BA32" i="7" s="1"/>
  <c r="AQ32" i="2"/>
  <c r="BA32" i="2" s="1"/>
  <c r="AQ32" i="5"/>
  <c r="BA32" i="5" s="1"/>
  <c r="AW33" i="1"/>
  <c r="AK33" i="14"/>
  <c r="AU33" i="14" s="1"/>
  <c r="AK33" i="13"/>
  <c r="AU33" i="13" s="1"/>
  <c r="AK33" i="12"/>
  <c r="AU33" i="12" s="1"/>
  <c r="AK33" i="11"/>
  <c r="AU33" i="11" s="1"/>
  <c r="AK33" i="10"/>
  <c r="AU33" i="10" s="1"/>
  <c r="AK33" i="9"/>
  <c r="AU33" i="9" s="1"/>
  <c r="AK33" i="8"/>
  <c r="AU33" i="8" s="1"/>
  <c r="AK33" i="7"/>
  <c r="AU33" i="7" s="1"/>
  <c r="AK33" i="6"/>
  <c r="AU33" i="6" s="1"/>
  <c r="AK33" i="2"/>
  <c r="AU33" i="2" s="1"/>
  <c r="AK33" i="5"/>
  <c r="AU33" i="5" s="1"/>
  <c r="BA33" i="1"/>
  <c r="AO33" i="14"/>
  <c r="AY33" i="14" s="1"/>
  <c r="AO33" i="13"/>
  <c r="AY33" i="13" s="1"/>
  <c r="AO33" i="12"/>
  <c r="AY33" i="12" s="1"/>
  <c r="AO33" i="8"/>
  <c r="AY33" i="8" s="1"/>
  <c r="AO33" i="11"/>
  <c r="AY33" i="11" s="1"/>
  <c r="AO33" i="9"/>
  <c r="AY33" i="9" s="1"/>
  <c r="AO33" i="7"/>
  <c r="AY33" i="7" s="1"/>
  <c r="AO33" i="6"/>
  <c r="AY33" i="6" s="1"/>
  <c r="AO33" i="5"/>
  <c r="AY33" i="5" s="1"/>
  <c r="AO33" i="2"/>
  <c r="AY33" i="2" s="1"/>
  <c r="AO33" i="10"/>
  <c r="AY33" i="10" s="1"/>
  <c r="AU41" i="1"/>
  <c r="AI41" i="14"/>
  <c r="AS41" i="14" s="1"/>
  <c r="AI41" i="13"/>
  <c r="AS41" i="13" s="1"/>
  <c r="AI41" i="12"/>
  <c r="AS41" i="12" s="1"/>
  <c r="AI41" i="11"/>
  <c r="AS41" i="11" s="1"/>
  <c r="AI41" i="9"/>
  <c r="AS41" i="9" s="1"/>
  <c r="AI41" i="10"/>
  <c r="AS41" i="10" s="1"/>
  <c r="AI41" i="8"/>
  <c r="AS41" i="8" s="1"/>
  <c r="AS41" i="6"/>
  <c r="AI41" i="2"/>
  <c r="AS41" i="2" s="1"/>
  <c r="AI41" i="7"/>
  <c r="AS41" i="7" s="1"/>
  <c r="AI41" i="5"/>
  <c r="AS41" i="5" s="1"/>
  <c r="AY41" i="1"/>
  <c r="AM41" i="14"/>
  <c r="AW41" i="14" s="1"/>
  <c r="AM41" i="11"/>
  <c r="AW41" i="11" s="1"/>
  <c r="AM41" i="13"/>
  <c r="AW41" i="13" s="1"/>
  <c r="AM41" i="12"/>
  <c r="AW41" i="12" s="1"/>
  <c r="AM41" i="9"/>
  <c r="AW41" i="9" s="1"/>
  <c r="AM41" i="10"/>
  <c r="AW41" i="10" s="1"/>
  <c r="AM41" i="8"/>
  <c r="AW41" i="8" s="1"/>
  <c r="AM41" i="6"/>
  <c r="AW41" i="6" s="1"/>
  <c r="AM41" i="2"/>
  <c r="AW41" i="2" s="1"/>
  <c r="AM41" i="7"/>
  <c r="AW41" i="7" s="1"/>
  <c r="AM41" i="5"/>
  <c r="AW41" i="5" s="1"/>
  <c r="BC41" i="1"/>
  <c r="AQ41" i="14"/>
  <c r="BA41" i="14" s="1"/>
  <c r="AQ41" i="13"/>
  <c r="BA41" i="13" s="1"/>
  <c r="AQ41" i="12"/>
  <c r="BA41" i="12" s="1"/>
  <c r="AQ41" i="11"/>
  <c r="BA41" i="11" s="1"/>
  <c r="AQ41" i="9"/>
  <c r="BA41" i="9" s="1"/>
  <c r="AQ41" i="10"/>
  <c r="BA41" i="10" s="1"/>
  <c r="AQ41" i="8"/>
  <c r="BA41" i="8" s="1"/>
  <c r="AQ41" i="6"/>
  <c r="BA41" i="6" s="1"/>
  <c r="AQ41" i="2"/>
  <c r="BA41" i="2" s="1"/>
  <c r="AQ41" i="7"/>
  <c r="BA41" i="7" s="1"/>
  <c r="AQ41" i="5"/>
  <c r="BA41" i="5" s="1"/>
  <c r="AW42" i="1"/>
  <c r="AK42" i="14"/>
  <c r="AU42" i="14" s="1"/>
  <c r="AK42" i="13"/>
  <c r="AU42" i="13" s="1"/>
  <c r="AK42" i="12"/>
  <c r="AU42" i="12" s="1"/>
  <c r="AK42" i="10"/>
  <c r="AU42" i="10" s="1"/>
  <c r="AK42" i="11"/>
  <c r="AU42" i="11" s="1"/>
  <c r="AK42" i="9"/>
  <c r="AU42" i="9" s="1"/>
  <c r="AK42" i="8"/>
  <c r="AU42" i="8" s="1"/>
  <c r="AK42" i="2"/>
  <c r="AU42" i="2" s="1"/>
  <c r="AK42" i="5"/>
  <c r="AU42" i="5" s="1"/>
  <c r="AK42" i="6"/>
  <c r="AU42" i="6" s="1"/>
  <c r="AK42" i="7"/>
  <c r="AU42" i="7" s="1"/>
  <c r="BA42" i="1"/>
  <c r="AO42" i="14"/>
  <c r="AY42" i="14" s="1"/>
  <c r="AO42" i="13"/>
  <c r="AY42" i="13" s="1"/>
  <c r="AO42" i="12"/>
  <c r="AY42" i="12" s="1"/>
  <c r="AO42" i="10"/>
  <c r="AY42" i="10" s="1"/>
  <c r="AO42" i="11"/>
  <c r="AY42" i="11" s="1"/>
  <c r="AO42" i="8"/>
  <c r="AY42" i="8" s="1"/>
  <c r="AO42" i="9"/>
  <c r="AY42" i="9" s="1"/>
  <c r="AO42" i="2"/>
  <c r="AY42" i="2" s="1"/>
  <c r="AO42" i="5"/>
  <c r="AY42" i="5" s="1"/>
  <c r="AO42" i="6"/>
  <c r="AY42" i="6" s="1"/>
  <c r="AO42" i="7"/>
  <c r="AY42" i="7" s="1"/>
  <c r="AV43" i="1"/>
  <c r="AJ43" i="14"/>
  <c r="AT43" i="14" s="1"/>
  <c r="AJ43" i="13"/>
  <c r="AT43" i="13" s="1"/>
  <c r="AJ43" i="12"/>
  <c r="AT43" i="12" s="1"/>
  <c r="AJ43" i="11"/>
  <c r="AT43" i="11" s="1"/>
  <c r="AJ43" i="10"/>
  <c r="AT43" i="10" s="1"/>
  <c r="AJ43" i="9"/>
  <c r="AT43" i="9" s="1"/>
  <c r="AJ43" i="8"/>
  <c r="AT43" i="8" s="1"/>
  <c r="AJ43" i="6"/>
  <c r="AT43" i="6" s="1"/>
  <c r="AJ43" i="2"/>
  <c r="AT43" i="2" s="1"/>
  <c r="AJ43" i="5"/>
  <c r="AT43" i="5" s="1"/>
  <c r="AJ43" i="7"/>
  <c r="AT43" i="7" s="1"/>
  <c r="AZ43" i="1"/>
  <c r="AN43" i="13"/>
  <c r="AX43" i="13" s="1"/>
  <c r="AN43" i="14"/>
  <c r="AX43" i="14" s="1"/>
  <c r="AN43" i="12"/>
  <c r="AX43" i="12" s="1"/>
  <c r="AN43" i="11"/>
  <c r="AX43" i="11" s="1"/>
  <c r="AN43" i="10"/>
  <c r="AX43" i="10" s="1"/>
  <c r="AN43" i="8"/>
  <c r="AX43" i="8" s="1"/>
  <c r="AN43" i="6"/>
  <c r="AX43" i="6" s="1"/>
  <c r="AN43" i="2"/>
  <c r="AX43" i="2" s="1"/>
  <c r="AN43" i="9"/>
  <c r="AX43" i="9" s="1"/>
  <c r="AN43" i="7"/>
  <c r="AX43" i="7" s="1"/>
  <c r="AN43" i="5"/>
  <c r="AX43" i="5" s="1"/>
  <c r="AT55" i="1"/>
  <c r="AH55" i="14"/>
  <c r="AR55" i="14" s="1"/>
  <c r="AH55" i="13"/>
  <c r="AR55" i="13" s="1"/>
  <c r="AH55" i="12"/>
  <c r="AR55" i="12" s="1"/>
  <c r="AH55" i="10"/>
  <c r="AR55" i="10" s="1"/>
  <c r="AH55" i="11"/>
  <c r="AR55" i="11" s="1"/>
  <c r="AH55" i="9"/>
  <c r="AR55" i="9" s="1"/>
  <c r="AH55" i="8"/>
  <c r="AR55" i="8" s="1"/>
  <c r="AH55" i="7"/>
  <c r="AR55" i="7" s="1"/>
  <c r="AR55" i="6"/>
  <c r="AH55" i="5"/>
  <c r="AR55" i="5" s="1"/>
  <c r="AH55" i="2"/>
  <c r="AR55" i="2" s="1"/>
  <c r="AX55" i="1"/>
  <c r="AL55" i="14"/>
  <c r="AV55" i="14" s="1"/>
  <c r="AL55" i="13"/>
  <c r="AV55" i="13" s="1"/>
  <c r="AL55" i="12"/>
  <c r="AV55" i="12" s="1"/>
  <c r="AL55" i="10"/>
  <c r="AV55" i="10" s="1"/>
  <c r="AL55" i="11"/>
  <c r="AV55" i="11" s="1"/>
  <c r="AL55" i="9"/>
  <c r="AV55" i="9" s="1"/>
  <c r="AL55" i="8"/>
  <c r="AV55" i="8" s="1"/>
  <c r="AL55" i="7"/>
  <c r="AV55" i="7" s="1"/>
  <c r="AL55" i="6"/>
  <c r="AV55" i="6" s="1"/>
  <c r="AL55" i="5"/>
  <c r="AV55" i="5" s="1"/>
  <c r="AL55" i="2"/>
  <c r="AV55" i="2" s="1"/>
  <c r="BB55" i="1"/>
  <c r="AP55" i="14"/>
  <c r="AZ55" i="14" s="1"/>
  <c r="AP55" i="12"/>
  <c r="AZ55" i="12" s="1"/>
  <c r="AP55" i="13"/>
  <c r="AZ55" i="13" s="1"/>
  <c r="AP55" i="10"/>
  <c r="AZ55" i="10" s="1"/>
  <c r="AP55" i="11"/>
  <c r="AZ55" i="11" s="1"/>
  <c r="AP55" i="9"/>
  <c r="AZ55" i="9" s="1"/>
  <c r="AP55" i="8"/>
  <c r="AZ55" i="8" s="1"/>
  <c r="AP55" i="7"/>
  <c r="AZ55" i="7" s="1"/>
  <c r="AP55" i="6"/>
  <c r="AZ55" i="6" s="1"/>
  <c r="AP55" i="5"/>
  <c r="AZ55" i="5" s="1"/>
  <c r="AP55" i="2"/>
  <c r="AZ55" i="2" s="1"/>
  <c r="AV56" i="1"/>
  <c r="AJ56" i="14"/>
  <c r="AT56" i="14" s="1"/>
  <c r="AJ56" i="13"/>
  <c r="AT56" i="13" s="1"/>
  <c r="AJ56" i="12"/>
  <c r="AT56" i="12" s="1"/>
  <c r="AJ56" i="11"/>
  <c r="AT56" i="11" s="1"/>
  <c r="AJ56" i="10"/>
  <c r="AT56" i="10" s="1"/>
  <c r="AJ56" i="8"/>
  <c r="AT56" i="8" s="1"/>
  <c r="AJ56" i="9"/>
  <c r="AT56" i="9" s="1"/>
  <c r="AJ56" i="7"/>
  <c r="AT56" i="7" s="1"/>
  <c r="AJ56" i="6"/>
  <c r="AT56" i="6" s="1"/>
  <c r="AJ56" i="5"/>
  <c r="AT56" i="5" s="1"/>
  <c r="AJ56" i="2"/>
  <c r="AT56" i="2" s="1"/>
  <c r="AZ56" i="1"/>
  <c r="AN56" i="14"/>
  <c r="AX56" i="14" s="1"/>
  <c r="AN56" i="13"/>
  <c r="AX56" i="13" s="1"/>
  <c r="AN56" i="12"/>
  <c r="AX56" i="12" s="1"/>
  <c r="AN56" i="10"/>
  <c r="AX56" i="10" s="1"/>
  <c r="AN56" i="11"/>
  <c r="AX56" i="11" s="1"/>
  <c r="AN56" i="8"/>
  <c r="AX56" i="8" s="1"/>
  <c r="AN56" i="7"/>
  <c r="AX56" i="7" s="1"/>
  <c r="AN56" i="9"/>
  <c r="AX56" i="9" s="1"/>
  <c r="AN56" i="6"/>
  <c r="AX56" i="6" s="1"/>
  <c r="AN56" i="2"/>
  <c r="AX56" i="2" s="1"/>
  <c r="AN56" i="5"/>
  <c r="AX56" i="5" s="1"/>
  <c r="AT57" i="1"/>
  <c r="AH57" i="14"/>
  <c r="AR57" i="14" s="1"/>
  <c r="AH57" i="13"/>
  <c r="AR57" i="13" s="1"/>
  <c r="AH57" i="12"/>
  <c r="AR57" i="12" s="1"/>
  <c r="AH57" i="11"/>
  <c r="AR57" i="11" s="1"/>
  <c r="AH57" i="9"/>
  <c r="AR57" i="9" s="1"/>
  <c r="AH57" i="10"/>
  <c r="AR57" i="10" s="1"/>
  <c r="AH57" i="5"/>
  <c r="AR57" i="5" s="1"/>
  <c r="AH57" i="8"/>
  <c r="AR57" i="8" s="1"/>
  <c r="AR57" i="6"/>
  <c r="AH57" i="7"/>
  <c r="AR57" i="7" s="1"/>
  <c r="AH57" i="2"/>
  <c r="AR57" i="2" s="1"/>
  <c r="AX57" i="1"/>
  <c r="AL57" i="14"/>
  <c r="AV57" i="14" s="1"/>
  <c r="AL57" i="13"/>
  <c r="AV57" i="13" s="1"/>
  <c r="AL57" i="12"/>
  <c r="AV57" i="12" s="1"/>
  <c r="AL57" i="11"/>
  <c r="AV57" i="11" s="1"/>
  <c r="AL57" i="10"/>
  <c r="AV57" i="10" s="1"/>
  <c r="AL57" i="9"/>
  <c r="AV57" i="9" s="1"/>
  <c r="AL57" i="8"/>
  <c r="AV57" i="8" s="1"/>
  <c r="AL57" i="5"/>
  <c r="AV57" i="5" s="1"/>
  <c r="AL57" i="7"/>
  <c r="AV57" i="7" s="1"/>
  <c r="AL57" i="6"/>
  <c r="AV57" i="6" s="1"/>
  <c r="AL57" i="2"/>
  <c r="AV57" i="2" s="1"/>
  <c r="BB57" i="1"/>
  <c r="AP57" i="14"/>
  <c r="AZ57" i="14" s="1"/>
  <c r="AP57" i="13"/>
  <c r="AZ57" i="13" s="1"/>
  <c r="AP57" i="12"/>
  <c r="AZ57" i="12" s="1"/>
  <c r="AP57" i="11"/>
  <c r="AZ57" i="11" s="1"/>
  <c r="AP57" i="9"/>
  <c r="AZ57" i="9" s="1"/>
  <c r="AP57" i="10"/>
  <c r="AZ57" i="10" s="1"/>
  <c r="AP57" i="7"/>
  <c r="AZ57" i="7" s="1"/>
  <c r="AP57" i="5"/>
  <c r="AZ57" i="5" s="1"/>
  <c r="AP57" i="6"/>
  <c r="AZ57" i="6" s="1"/>
  <c r="AP57" i="2"/>
  <c r="AZ57" i="2" s="1"/>
  <c r="AP57" i="8"/>
  <c r="AZ57" i="8" s="1"/>
  <c r="AV69" i="1"/>
  <c r="AJ69" i="14"/>
  <c r="AT69" i="14" s="1"/>
  <c r="AJ69" i="13"/>
  <c r="AT69" i="13" s="1"/>
  <c r="AJ69" i="12"/>
  <c r="AT69" i="12" s="1"/>
  <c r="AJ69" i="11"/>
  <c r="AT69" i="11" s="1"/>
  <c r="AJ69" i="9"/>
  <c r="AT69" i="9" s="1"/>
  <c r="AJ69" i="10"/>
  <c r="AT69" i="10" s="1"/>
  <c r="AJ69" i="8"/>
  <c r="AT69" i="8" s="1"/>
  <c r="AJ69" i="7"/>
  <c r="AT69" i="7" s="1"/>
  <c r="AJ69" i="5"/>
  <c r="AT69" i="5" s="1"/>
  <c r="AJ69" i="6"/>
  <c r="AT69" i="6" s="1"/>
  <c r="AJ69" i="2"/>
  <c r="AT69" i="2" s="1"/>
  <c r="AZ69" i="1"/>
  <c r="AN69" i="14"/>
  <c r="AX69" i="14" s="1"/>
  <c r="AN69" i="13"/>
  <c r="AX69" i="13" s="1"/>
  <c r="AN69" i="12"/>
  <c r="AX69" i="12" s="1"/>
  <c r="AN69" i="11"/>
  <c r="AX69" i="11" s="1"/>
  <c r="AN69" i="10"/>
  <c r="AX69" i="10" s="1"/>
  <c r="AN69" i="9"/>
  <c r="AX69" i="9" s="1"/>
  <c r="AN69" i="8"/>
  <c r="AX69" i="8" s="1"/>
  <c r="AN69" i="7"/>
  <c r="AX69" i="7" s="1"/>
  <c r="AN69" i="5"/>
  <c r="AX69" i="5" s="1"/>
  <c r="AN69" i="6"/>
  <c r="AX69" i="6" s="1"/>
  <c r="AN69" i="2"/>
  <c r="AX69" i="2" s="1"/>
  <c r="AT70" i="1"/>
  <c r="AH70" i="14"/>
  <c r="AR70" i="14" s="1"/>
  <c r="AH70" i="13"/>
  <c r="AR70" i="13" s="1"/>
  <c r="AH70" i="11"/>
  <c r="AR70" i="11" s="1"/>
  <c r="AH70" i="12"/>
  <c r="AR70" i="12" s="1"/>
  <c r="AH70" i="10"/>
  <c r="AR70" i="10" s="1"/>
  <c r="AH70" i="9"/>
  <c r="AR70" i="9" s="1"/>
  <c r="AH70" i="8"/>
  <c r="AR70" i="8" s="1"/>
  <c r="AH70" i="5"/>
  <c r="AR70" i="5" s="1"/>
  <c r="AH70" i="7"/>
  <c r="AR70" i="7" s="1"/>
  <c r="AR70" i="6"/>
  <c r="AH70" i="2"/>
  <c r="AR70" i="2" s="1"/>
  <c r="AX70" i="1"/>
  <c r="AL70" i="14"/>
  <c r="AV70" i="14" s="1"/>
  <c r="AL70" i="13"/>
  <c r="AV70" i="13" s="1"/>
  <c r="AL70" i="11"/>
  <c r="AV70" i="11" s="1"/>
  <c r="AL70" i="12"/>
  <c r="AV70" i="12" s="1"/>
  <c r="AL70" i="9"/>
  <c r="AV70" i="9" s="1"/>
  <c r="AL70" i="8"/>
  <c r="AV70" i="8" s="1"/>
  <c r="AL70" i="10"/>
  <c r="AV70" i="10" s="1"/>
  <c r="AL70" i="5"/>
  <c r="AV70" i="5" s="1"/>
  <c r="AL70" i="7"/>
  <c r="AV70" i="7" s="1"/>
  <c r="AL70" i="6"/>
  <c r="AV70" i="6" s="1"/>
  <c r="AL70" i="2"/>
  <c r="AV70" i="2" s="1"/>
  <c r="BB70" i="1"/>
  <c r="AP70" i="14"/>
  <c r="AZ70" i="14" s="1"/>
  <c r="AP70" i="13"/>
  <c r="AZ70" i="13" s="1"/>
  <c r="AP70" i="11"/>
  <c r="AZ70" i="11" s="1"/>
  <c r="AP70" i="12"/>
  <c r="AZ70" i="12" s="1"/>
  <c r="AP70" i="10"/>
  <c r="AZ70" i="10" s="1"/>
  <c r="AP70" i="9"/>
  <c r="AZ70" i="9" s="1"/>
  <c r="AP70" i="8"/>
  <c r="AZ70" i="8" s="1"/>
  <c r="AP70" i="7"/>
  <c r="AZ70" i="7" s="1"/>
  <c r="AP70" i="5"/>
  <c r="AZ70" i="5" s="1"/>
  <c r="AP70" i="6"/>
  <c r="AZ70" i="6" s="1"/>
  <c r="AP70" i="2"/>
  <c r="AZ70" i="2" s="1"/>
  <c r="AV71" i="1"/>
  <c r="AJ71" i="14"/>
  <c r="AT71" i="14" s="1"/>
  <c r="AJ71" i="13"/>
  <c r="AT71" i="13" s="1"/>
  <c r="AJ71" i="11"/>
  <c r="AT71" i="11" s="1"/>
  <c r="AJ71" i="10"/>
  <c r="AT71" i="10" s="1"/>
  <c r="AJ71" i="9"/>
  <c r="AT71" i="9" s="1"/>
  <c r="AJ71" i="8"/>
  <c r="AT71" i="8" s="1"/>
  <c r="AJ71" i="7"/>
  <c r="AT71" i="7" s="1"/>
  <c r="AJ71" i="12"/>
  <c r="AT71" i="12" s="1"/>
  <c r="AJ71" i="5"/>
  <c r="AT71" i="5" s="1"/>
  <c r="AJ71" i="6"/>
  <c r="AT71" i="6" s="1"/>
  <c r="AJ71" i="2"/>
  <c r="AT71" i="2" s="1"/>
  <c r="AZ71" i="1"/>
  <c r="AN71" i="14"/>
  <c r="AX71" i="14" s="1"/>
  <c r="AN71" i="13"/>
  <c r="AX71" i="13" s="1"/>
  <c r="AN71" i="11"/>
  <c r="AX71" i="11" s="1"/>
  <c r="AN71" i="12"/>
  <c r="AX71" i="12" s="1"/>
  <c r="AN71" i="9"/>
  <c r="AX71" i="9" s="1"/>
  <c r="AN71" i="10"/>
  <c r="AX71" i="10" s="1"/>
  <c r="AN71" i="8"/>
  <c r="AX71" i="8" s="1"/>
  <c r="AN71" i="7"/>
  <c r="AX71" i="7" s="1"/>
  <c r="AN71" i="5"/>
  <c r="AX71" i="5" s="1"/>
  <c r="AN71" i="6"/>
  <c r="AX71" i="6" s="1"/>
  <c r="AN71" i="2"/>
  <c r="AX71" i="2" s="1"/>
  <c r="AT81" i="1"/>
  <c r="AH81" i="14"/>
  <c r="AR81" i="14" s="1"/>
  <c r="AH81" i="13"/>
  <c r="AR81" i="13" s="1"/>
  <c r="AH81" i="12"/>
  <c r="AR81" i="12" s="1"/>
  <c r="AH81" i="10"/>
  <c r="AR81" i="10" s="1"/>
  <c r="AH81" i="11"/>
  <c r="AR81" i="11" s="1"/>
  <c r="AH81" i="8"/>
  <c r="AR81" i="8" s="1"/>
  <c r="AR81" i="6"/>
  <c r="AH81" i="9"/>
  <c r="AR81" i="9" s="1"/>
  <c r="AH81" i="2"/>
  <c r="AR81" i="2" s="1"/>
  <c r="AH81" i="5"/>
  <c r="AR81" i="5" s="1"/>
  <c r="AX81" i="1"/>
  <c r="AL81" i="14"/>
  <c r="AV81" i="14" s="1"/>
  <c r="AL81" i="12"/>
  <c r="AV81" i="12" s="1"/>
  <c r="AL81" i="13"/>
  <c r="AV81" i="13" s="1"/>
  <c r="AL81" i="10"/>
  <c r="AV81" i="10" s="1"/>
  <c r="AL81" i="11"/>
  <c r="AV81" i="11" s="1"/>
  <c r="AL81" i="9"/>
  <c r="AV81" i="9" s="1"/>
  <c r="AL81" i="8"/>
  <c r="AV81" i="8" s="1"/>
  <c r="AV81" i="7"/>
  <c r="AL81" i="6"/>
  <c r="AV81" i="6" s="1"/>
  <c r="AL81" i="2"/>
  <c r="AV81" i="2" s="1"/>
  <c r="AL81" i="5"/>
  <c r="AV81" i="5" s="1"/>
  <c r="BB81" i="1"/>
  <c r="AP81" i="14"/>
  <c r="AZ81" i="14" s="1"/>
  <c r="AP81" i="13"/>
  <c r="AZ81" i="13" s="1"/>
  <c r="AP81" i="12"/>
  <c r="AZ81" i="12" s="1"/>
  <c r="AP81" i="10"/>
  <c r="AZ81" i="10" s="1"/>
  <c r="AP81" i="11"/>
  <c r="AZ81" i="11" s="1"/>
  <c r="AZ81" i="7"/>
  <c r="AP81" i="9"/>
  <c r="AZ81" i="9" s="1"/>
  <c r="AP81" i="6"/>
  <c r="AZ81" i="6" s="1"/>
  <c r="AP81" i="8"/>
  <c r="AZ81" i="8" s="1"/>
  <c r="AP81" i="5"/>
  <c r="AZ81" i="5" s="1"/>
  <c r="AP81" i="2"/>
  <c r="AZ81" i="2" s="1"/>
  <c r="AV82" i="1"/>
  <c r="AJ82" i="14"/>
  <c r="AT82" i="14" s="1"/>
  <c r="AJ82" i="13"/>
  <c r="AT82" i="13" s="1"/>
  <c r="AJ82" i="10"/>
  <c r="AT82" i="10" s="1"/>
  <c r="AJ82" i="11"/>
  <c r="AT82" i="11" s="1"/>
  <c r="AJ82" i="12"/>
  <c r="AT82" i="12" s="1"/>
  <c r="AJ82" i="9"/>
  <c r="AT82" i="9" s="1"/>
  <c r="AJ82" i="8"/>
  <c r="AT82" i="8" s="1"/>
  <c r="AJ82" i="6"/>
  <c r="AT82" i="6" s="1"/>
  <c r="AJ82" i="5"/>
  <c r="AT82" i="5" s="1"/>
  <c r="AJ82" i="2"/>
  <c r="AT82" i="2" s="1"/>
  <c r="AZ82" i="1"/>
  <c r="AN82" i="14"/>
  <c r="AX82" i="14" s="1"/>
  <c r="AN82" i="13"/>
  <c r="AX82" i="13" s="1"/>
  <c r="AN82" i="10"/>
  <c r="AX82" i="10" s="1"/>
  <c r="AN82" i="12"/>
  <c r="AX82" i="12" s="1"/>
  <c r="AN82" i="11"/>
  <c r="AX82" i="11" s="1"/>
  <c r="AN82" i="9"/>
  <c r="AX82" i="9" s="1"/>
  <c r="AX82" i="7"/>
  <c r="AN82" i="8"/>
  <c r="AX82" i="8" s="1"/>
  <c r="AN82" i="6"/>
  <c r="AX82" i="6" s="1"/>
  <c r="AN82" i="5"/>
  <c r="AX82" i="5" s="1"/>
  <c r="AN82" i="2"/>
  <c r="AX82" i="2" s="1"/>
  <c r="AU83" i="1"/>
  <c r="AI83" i="14"/>
  <c r="AS83" i="14" s="1"/>
  <c r="AI83" i="13"/>
  <c r="AS83" i="13" s="1"/>
  <c r="AI83" i="12"/>
  <c r="AS83" i="12" s="1"/>
  <c r="AI83" i="11"/>
  <c r="AS83" i="11" s="1"/>
  <c r="AI83" i="10"/>
  <c r="AS83" i="10" s="1"/>
  <c r="AI83" i="9"/>
  <c r="AS83" i="9" s="1"/>
  <c r="AI83" i="8"/>
  <c r="AS83" i="8" s="1"/>
  <c r="AS83" i="6"/>
  <c r="AI83" i="5"/>
  <c r="AS83" i="5" s="1"/>
  <c r="AI83" i="2"/>
  <c r="AS83" i="2" s="1"/>
  <c r="AY83" i="1"/>
  <c r="AM83" i="14"/>
  <c r="AW83" i="14" s="1"/>
  <c r="AM83" i="13"/>
  <c r="AW83" i="13" s="1"/>
  <c r="AM83" i="12"/>
  <c r="AW83" i="12" s="1"/>
  <c r="AM83" i="11"/>
  <c r="AW83" i="11" s="1"/>
  <c r="AM83" i="10"/>
  <c r="AW83" i="10" s="1"/>
  <c r="AM83" i="9"/>
  <c r="AW83" i="9" s="1"/>
  <c r="AM83" i="8"/>
  <c r="AW83" i="8" s="1"/>
  <c r="AW83" i="7"/>
  <c r="AM83" i="6"/>
  <c r="AW83" i="6" s="1"/>
  <c r="AM83" i="5"/>
  <c r="AW83" i="5" s="1"/>
  <c r="AM83" i="2"/>
  <c r="AW83" i="2" s="1"/>
  <c r="BC83" i="1"/>
  <c r="AQ83" i="14"/>
  <c r="BA83" i="14" s="1"/>
  <c r="AQ83" i="13"/>
  <c r="BA83" i="13" s="1"/>
  <c r="AQ83" i="12"/>
  <c r="BA83" i="12" s="1"/>
  <c r="AQ83" i="11"/>
  <c r="BA83" i="11" s="1"/>
  <c r="AQ83" i="10"/>
  <c r="BA83" i="10" s="1"/>
  <c r="AQ83" i="9"/>
  <c r="BA83" i="9" s="1"/>
  <c r="AQ83" i="8"/>
  <c r="BA83" i="8" s="1"/>
  <c r="BA83" i="7"/>
  <c r="AQ83" i="6"/>
  <c r="BA83" i="6" s="1"/>
  <c r="AQ83" i="5"/>
  <c r="BA83" i="5" s="1"/>
  <c r="AQ83" i="2"/>
  <c r="BA83" i="2" s="1"/>
  <c r="AW7" i="1"/>
  <c r="AK7" i="14"/>
  <c r="AU7" i="14" s="1"/>
  <c r="AK7" i="13"/>
  <c r="AU7" i="13" s="1"/>
  <c r="AK7" i="12"/>
  <c r="AU7" i="12" s="1"/>
  <c r="AK7" i="11"/>
  <c r="AU7" i="11" s="1"/>
  <c r="AK7" i="10"/>
  <c r="AU7" i="10" s="1"/>
  <c r="AK7" i="9"/>
  <c r="AU7" i="9" s="1"/>
  <c r="AK7" i="7"/>
  <c r="AU7" i="7" s="1"/>
  <c r="AK7" i="6"/>
  <c r="AU7" i="6" s="1"/>
  <c r="AK7" i="5"/>
  <c r="AU7" i="5" s="1"/>
  <c r="AK7" i="2"/>
  <c r="AU7" i="2" s="1"/>
  <c r="AK7" i="8"/>
  <c r="AU7" i="8" s="1"/>
  <c r="AX9" i="1"/>
  <c r="AL9" i="14"/>
  <c r="AV9" i="14" s="1"/>
  <c r="AL9" i="13"/>
  <c r="AV9" i="13" s="1"/>
  <c r="AL9" i="11"/>
  <c r="AV9" i="11" s="1"/>
  <c r="AL9" i="12"/>
  <c r="AV9" i="12" s="1"/>
  <c r="AL9" i="10"/>
  <c r="AV9" i="10" s="1"/>
  <c r="AL9" i="8"/>
  <c r="AV9" i="8" s="1"/>
  <c r="AL9" i="9"/>
  <c r="AV9" i="9" s="1"/>
  <c r="AL9" i="5"/>
  <c r="AV9" i="5" s="1"/>
  <c r="AL9" i="7"/>
  <c r="AV9" i="7" s="1"/>
  <c r="AL9" i="6"/>
  <c r="AV9" i="6" s="1"/>
  <c r="AL9" i="2"/>
  <c r="AV9" i="2" s="1"/>
  <c r="AZ8" i="1"/>
  <c r="AN8" i="14"/>
  <c r="AX8" i="14" s="1"/>
  <c r="AN8" i="13"/>
  <c r="AX8" i="13" s="1"/>
  <c r="AN8" i="12"/>
  <c r="AX8" i="12" s="1"/>
  <c r="AN8" i="10"/>
  <c r="AX8" i="10" s="1"/>
  <c r="AN8" i="11"/>
  <c r="AX8" i="11" s="1"/>
  <c r="AN8" i="9"/>
  <c r="AX8" i="9" s="1"/>
  <c r="AN8" i="7"/>
  <c r="AX8" i="7" s="1"/>
  <c r="AN8" i="6"/>
  <c r="AX8" i="6" s="1"/>
  <c r="AN8" i="2"/>
  <c r="AX8" i="2" s="1"/>
  <c r="AN8" i="8"/>
  <c r="AX8" i="8" s="1"/>
  <c r="AN8" i="5"/>
  <c r="AX8" i="5" s="1"/>
  <c r="AU15" i="1"/>
  <c r="AI15" i="14"/>
  <c r="AS15" i="14" s="1"/>
  <c r="AI15" i="13"/>
  <c r="AS15" i="13" s="1"/>
  <c r="AI15" i="12"/>
  <c r="AS15" i="12" s="1"/>
  <c r="AI15" i="10"/>
  <c r="AS15" i="10" s="1"/>
  <c r="AI15" i="9"/>
  <c r="AS15" i="9" s="1"/>
  <c r="AI15" i="11"/>
  <c r="AS15" i="11" s="1"/>
  <c r="AI15" i="8"/>
  <c r="AS15" i="8" s="1"/>
  <c r="AI15" i="2"/>
  <c r="AS15" i="2" s="1"/>
  <c r="AI15" i="7"/>
  <c r="AS15" i="7" s="1"/>
  <c r="AS15" i="6"/>
  <c r="AI15" i="5"/>
  <c r="AS15" i="5" s="1"/>
  <c r="BC15" i="1"/>
  <c r="AQ15" i="14"/>
  <c r="BA15" i="14" s="1"/>
  <c r="AQ15" i="13"/>
  <c r="BA15" i="13" s="1"/>
  <c r="AQ15" i="12"/>
  <c r="BA15" i="12" s="1"/>
  <c r="AQ15" i="10"/>
  <c r="BA15" i="10" s="1"/>
  <c r="AQ15" i="9"/>
  <c r="BA15" i="9" s="1"/>
  <c r="AQ15" i="11"/>
  <c r="BA15" i="11" s="1"/>
  <c r="AQ15" i="8"/>
  <c r="BA15" i="8" s="1"/>
  <c r="AQ15" i="2"/>
  <c r="BA15" i="2" s="1"/>
  <c r="AQ15" i="7"/>
  <c r="BA15" i="7" s="1"/>
  <c r="AQ15" i="6"/>
  <c r="BA15" i="6" s="1"/>
  <c r="AQ15" i="5"/>
  <c r="BA15" i="5" s="1"/>
  <c r="BA16" i="1"/>
  <c r="AO16" i="14"/>
  <c r="AY16" i="14" s="1"/>
  <c r="AO16" i="13"/>
  <c r="AY16" i="13" s="1"/>
  <c r="AO16" i="11"/>
  <c r="AY16" i="11" s="1"/>
  <c r="AO16" i="12"/>
  <c r="AY16" i="12" s="1"/>
  <c r="AO16" i="10"/>
  <c r="AY16" i="10" s="1"/>
  <c r="AO16" i="9"/>
  <c r="AY16" i="9" s="1"/>
  <c r="AO16" i="6"/>
  <c r="AY16" i="6" s="1"/>
  <c r="AO16" i="2"/>
  <c r="AY16" i="2" s="1"/>
  <c r="AO16" i="8"/>
  <c r="AY16" i="8" s="1"/>
  <c r="AO16" i="7"/>
  <c r="AY16" i="7" s="1"/>
  <c r="AO16" i="5"/>
  <c r="AY16" i="5" s="1"/>
  <c r="AY17" i="1"/>
  <c r="AM17" i="14"/>
  <c r="AW17" i="14" s="1"/>
  <c r="AM17" i="13"/>
  <c r="AW17" i="13" s="1"/>
  <c r="AM17" i="11"/>
  <c r="AW17" i="11" s="1"/>
  <c r="AM17" i="12"/>
  <c r="AW17" i="12" s="1"/>
  <c r="AM17" i="10"/>
  <c r="AW17" i="10" s="1"/>
  <c r="AM17" i="8"/>
  <c r="AW17" i="8" s="1"/>
  <c r="AM17" i="5"/>
  <c r="AW17" i="5" s="1"/>
  <c r="AM17" i="2"/>
  <c r="AW17" i="2" s="1"/>
  <c r="AM17" i="7"/>
  <c r="AW17" i="7" s="1"/>
  <c r="AM17" i="6"/>
  <c r="AW17" i="6" s="1"/>
  <c r="AM17" i="9"/>
  <c r="AW17" i="9" s="1"/>
  <c r="AW22" i="1"/>
  <c r="AK22" i="14"/>
  <c r="AU22" i="14" s="1"/>
  <c r="AK22" i="11"/>
  <c r="AU22" i="11" s="1"/>
  <c r="AK22" i="13"/>
  <c r="AU22" i="13" s="1"/>
  <c r="AK22" i="12"/>
  <c r="AU22" i="12" s="1"/>
  <c r="AK22" i="10"/>
  <c r="AU22" i="10" s="1"/>
  <c r="AK22" i="9"/>
  <c r="AU22" i="9" s="1"/>
  <c r="AK22" i="8"/>
  <c r="AU22" i="8" s="1"/>
  <c r="AK22" i="6"/>
  <c r="AU22" i="6" s="1"/>
  <c r="AK22" i="5"/>
  <c r="AU22" i="5" s="1"/>
  <c r="AK22" i="2"/>
  <c r="AU22" i="2" s="1"/>
  <c r="AK22" i="7"/>
  <c r="AU22" i="7" s="1"/>
  <c r="AU23" i="1"/>
  <c r="AI23" i="14"/>
  <c r="AS23" i="14" s="1"/>
  <c r="AI23" i="13"/>
  <c r="AS23" i="13" s="1"/>
  <c r="AI23" i="11"/>
  <c r="AS23" i="11" s="1"/>
  <c r="AI23" i="12"/>
  <c r="AS23" i="12" s="1"/>
  <c r="AI23" i="10"/>
  <c r="AS23" i="10" s="1"/>
  <c r="AI23" i="9"/>
  <c r="AS23" i="9" s="1"/>
  <c r="AI23" i="8"/>
  <c r="AS23" i="8" s="1"/>
  <c r="AI23" i="7"/>
  <c r="AS23" i="7" s="1"/>
  <c r="AI23" i="2"/>
  <c r="AS23" i="2" s="1"/>
  <c r="AS23" i="6"/>
  <c r="AI23" i="5"/>
  <c r="AS23" i="5" s="1"/>
  <c r="BC23" i="1"/>
  <c r="AQ23" i="14"/>
  <c r="BA23" i="14" s="1"/>
  <c r="AQ23" i="13"/>
  <c r="BA23" i="13" s="1"/>
  <c r="AQ23" i="11"/>
  <c r="BA23" i="11" s="1"/>
  <c r="AQ23" i="12"/>
  <c r="BA23" i="12" s="1"/>
  <c r="AQ23" i="10"/>
  <c r="BA23" i="10" s="1"/>
  <c r="AQ23" i="9"/>
  <c r="BA23" i="9" s="1"/>
  <c r="AQ23" i="8"/>
  <c r="BA23" i="8" s="1"/>
  <c r="AQ23" i="7"/>
  <c r="BA23" i="7" s="1"/>
  <c r="AQ23" i="2"/>
  <c r="BA23" i="2" s="1"/>
  <c r="AQ23" i="6"/>
  <c r="BA23" i="6" s="1"/>
  <c r="AQ23" i="5"/>
  <c r="BA23" i="5" s="1"/>
  <c r="BA24" i="1"/>
  <c r="AO24" i="14"/>
  <c r="AY24" i="14" s="1"/>
  <c r="AO24" i="13"/>
  <c r="AY24" i="13" s="1"/>
  <c r="AO24" i="10"/>
  <c r="AY24" i="10" s="1"/>
  <c r="AO24" i="11"/>
  <c r="AY24" i="11" s="1"/>
  <c r="AO24" i="12"/>
  <c r="AY24" i="12" s="1"/>
  <c r="AO24" i="9"/>
  <c r="AY24" i="9" s="1"/>
  <c r="AO24" i="6"/>
  <c r="AY24" i="6" s="1"/>
  <c r="AO24" i="2"/>
  <c r="AY24" i="2" s="1"/>
  <c r="AO24" i="7"/>
  <c r="AY24" i="7" s="1"/>
  <c r="AO24" i="5"/>
  <c r="AY24" i="5" s="1"/>
  <c r="AO24" i="8"/>
  <c r="AY24" i="8" s="1"/>
  <c r="AY31" i="1"/>
  <c r="AM31" i="14"/>
  <c r="AW31" i="14" s="1"/>
  <c r="AM31" i="13"/>
  <c r="AW31" i="13" s="1"/>
  <c r="AM31" i="11"/>
  <c r="AW31" i="11" s="1"/>
  <c r="AM31" i="9"/>
  <c r="AW31" i="9" s="1"/>
  <c r="AM31" i="12"/>
  <c r="AW31" i="12" s="1"/>
  <c r="AM31" i="10"/>
  <c r="AW31" i="10" s="1"/>
  <c r="AM31" i="8"/>
  <c r="AW31" i="8" s="1"/>
  <c r="AM31" i="7"/>
  <c r="AW31" i="7" s="1"/>
  <c r="AM31" i="2"/>
  <c r="AW31" i="2" s="1"/>
  <c r="AM31" i="6"/>
  <c r="AW31" i="6" s="1"/>
  <c r="AM31" i="5"/>
  <c r="AW31" i="5" s="1"/>
  <c r="AW32" i="1"/>
  <c r="AK32" i="14"/>
  <c r="AU32" i="14" s="1"/>
  <c r="AK32" i="13"/>
  <c r="AU32" i="13" s="1"/>
  <c r="AK32" i="12"/>
  <c r="AU32" i="12" s="1"/>
  <c r="AK32" i="11"/>
  <c r="AU32" i="11" s="1"/>
  <c r="AK32" i="10"/>
  <c r="AU32" i="10" s="1"/>
  <c r="AK32" i="9"/>
  <c r="AU32" i="9" s="1"/>
  <c r="AK32" i="6"/>
  <c r="AU32" i="6" s="1"/>
  <c r="AK32" i="5"/>
  <c r="AU32" i="5" s="1"/>
  <c r="AK32" i="2"/>
  <c r="AU32" i="2" s="1"/>
  <c r="AK32" i="7"/>
  <c r="AU32" i="7" s="1"/>
  <c r="AK32" i="8"/>
  <c r="AU32" i="8" s="1"/>
  <c r="AU33" i="1"/>
  <c r="AI33" i="14"/>
  <c r="AS33" i="14" s="1"/>
  <c r="AI33" i="13"/>
  <c r="AS33" i="13" s="1"/>
  <c r="AI33" i="11"/>
  <c r="AS33" i="11" s="1"/>
  <c r="AI33" i="9"/>
  <c r="AS33" i="9" s="1"/>
  <c r="AI33" i="10"/>
  <c r="AS33" i="10" s="1"/>
  <c r="AI33" i="12"/>
  <c r="AS33" i="12" s="1"/>
  <c r="AI33" i="8"/>
  <c r="AS33" i="8" s="1"/>
  <c r="AI33" i="5"/>
  <c r="AS33" i="5" s="1"/>
  <c r="AI33" i="2"/>
  <c r="AS33" i="2" s="1"/>
  <c r="AI33" i="7"/>
  <c r="AS33" i="7" s="1"/>
  <c r="AS33" i="6"/>
  <c r="BC33" i="1"/>
  <c r="AQ33" i="14"/>
  <c r="BA33" i="14" s="1"/>
  <c r="AQ33" i="13"/>
  <c r="BA33" i="13" s="1"/>
  <c r="AQ33" i="12"/>
  <c r="BA33" i="12" s="1"/>
  <c r="AQ33" i="11"/>
  <c r="BA33" i="11" s="1"/>
  <c r="AQ33" i="9"/>
  <c r="BA33" i="9" s="1"/>
  <c r="AQ33" i="10"/>
  <c r="BA33" i="10" s="1"/>
  <c r="AQ33" i="8"/>
  <c r="BA33" i="8" s="1"/>
  <c r="AQ33" i="5"/>
  <c r="BA33" i="5" s="1"/>
  <c r="AQ33" i="2"/>
  <c r="BA33" i="2" s="1"/>
  <c r="AQ33" i="7"/>
  <c r="BA33" i="7" s="1"/>
  <c r="AQ33" i="6"/>
  <c r="BA33" i="6" s="1"/>
  <c r="AU42" i="1"/>
  <c r="AI42" i="14"/>
  <c r="AS42" i="14" s="1"/>
  <c r="AI42" i="13"/>
  <c r="AS42" i="13" s="1"/>
  <c r="AI42" i="12"/>
  <c r="AS42" i="12" s="1"/>
  <c r="AI42" i="11"/>
  <c r="AS42" i="11" s="1"/>
  <c r="AI42" i="9"/>
  <c r="AS42" i="9" s="1"/>
  <c r="AI42" i="10"/>
  <c r="AS42" i="10" s="1"/>
  <c r="AS42" i="6"/>
  <c r="AI42" i="8"/>
  <c r="AS42" i="8" s="1"/>
  <c r="AI42" i="7"/>
  <c r="AS42" i="7" s="1"/>
  <c r="AI42" i="2"/>
  <c r="AS42" i="2" s="1"/>
  <c r="AI42" i="5"/>
  <c r="AS42" i="5" s="1"/>
  <c r="BC42" i="1"/>
  <c r="AQ42" i="13"/>
  <c r="BA42" i="13" s="1"/>
  <c r="AQ42" i="14"/>
  <c r="BA42" i="14" s="1"/>
  <c r="AQ42" i="12"/>
  <c r="BA42" i="12" s="1"/>
  <c r="AQ42" i="11"/>
  <c r="BA42" i="11" s="1"/>
  <c r="AQ42" i="9"/>
  <c r="BA42" i="9" s="1"/>
  <c r="AQ42" i="10"/>
  <c r="BA42" i="10" s="1"/>
  <c r="AQ42" i="6"/>
  <c r="BA42" i="6" s="1"/>
  <c r="AQ42" i="7"/>
  <c r="BA42" i="7" s="1"/>
  <c r="AQ42" i="2"/>
  <c r="BA42" i="2" s="1"/>
  <c r="AQ42" i="5"/>
  <c r="BA42" i="5" s="1"/>
  <c r="AQ42" i="8"/>
  <c r="BA42" i="8" s="1"/>
  <c r="BB43" i="1"/>
  <c r="AP43" i="14"/>
  <c r="AZ43" i="14" s="1"/>
  <c r="AP43" i="13"/>
  <c r="AZ43" i="13" s="1"/>
  <c r="AP43" i="12"/>
  <c r="AZ43" i="12" s="1"/>
  <c r="AP43" i="11"/>
  <c r="AZ43" i="11" s="1"/>
  <c r="AP43" i="10"/>
  <c r="AZ43" i="10" s="1"/>
  <c r="AP43" i="9"/>
  <c r="AZ43" i="9" s="1"/>
  <c r="AP43" i="8"/>
  <c r="AZ43" i="8" s="1"/>
  <c r="AP43" i="5"/>
  <c r="AZ43" i="5" s="1"/>
  <c r="AP43" i="7"/>
  <c r="AZ43" i="7" s="1"/>
  <c r="AP43" i="6"/>
  <c r="AZ43" i="6" s="1"/>
  <c r="AP43" i="2"/>
  <c r="AZ43" i="2" s="1"/>
  <c r="AZ55" i="1"/>
  <c r="AN55" i="14"/>
  <c r="AX55" i="14" s="1"/>
  <c r="AN55" i="13"/>
  <c r="AX55" i="13" s="1"/>
  <c r="AN55" i="12"/>
  <c r="AX55" i="12" s="1"/>
  <c r="AN55" i="11"/>
  <c r="AX55" i="11" s="1"/>
  <c r="AN55" i="10"/>
  <c r="AX55" i="10" s="1"/>
  <c r="AN55" i="2"/>
  <c r="AX55" i="2" s="1"/>
  <c r="AN55" i="6"/>
  <c r="AX55" i="6" s="1"/>
  <c r="AN55" i="9"/>
  <c r="AX55" i="9" s="1"/>
  <c r="AN55" i="5"/>
  <c r="AX55" i="5" s="1"/>
  <c r="AN55" i="8"/>
  <c r="AX55" i="8" s="1"/>
  <c r="AN55" i="7"/>
  <c r="AX55" i="7" s="1"/>
  <c r="AT56" i="1"/>
  <c r="AH56" i="14"/>
  <c r="AR56" i="14" s="1"/>
  <c r="AH56" i="13"/>
  <c r="AR56" i="13" s="1"/>
  <c r="AH56" i="12"/>
  <c r="AR56" i="12" s="1"/>
  <c r="AH56" i="11"/>
  <c r="AR56" i="11" s="1"/>
  <c r="AH56" i="10"/>
  <c r="AR56" i="10" s="1"/>
  <c r="AH56" i="9"/>
  <c r="AR56" i="9" s="1"/>
  <c r="AH56" i="7"/>
  <c r="AR56" i="7" s="1"/>
  <c r="AH56" i="8"/>
  <c r="AR56" i="8" s="1"/>
  <c r="AH56" i="5"/>
  <c r="AR56" i="5" s="1"/>
  <c r="AH56" i="2"/>
  <c r="AR56" i="2" s="1"/>
  <c r="AR56" i="6"/>
  <c r="BB56" i="1"/>
  <c r="AP56" i="14"/>
  <c r="AZ56" i="14" s="1"/>
  <c r="AP56" i="13"/>
  <c r="AZ56" i="13" s="1"/>
  <c r="AP56" i="12"/>
  <c r="AZ56" i="12" s="1"/>
  <c r="AP56" i="11"/>
  <c r="AZ56" i="11" s="1"/>
  <c r="AP56" i="10"/>
  <c r="AZ56" i="10" s="1"/>
  <c r="AP56" i="9"/>
  <c r="AZ56" i="9" s="1"/>
  <c r="AP56" i="7"/>
  <c r="AZ56" i="7" s="1"/>
  <c r="AP56" i="8"/>
  <c r="AZ56" i="8" s="1"/>
  <c r="AP56" i="5"/>
  <c r="AZ56" i="5" s="1"/>
  <c r="AP56" i="2"/>
  <c r="AZ56" i="2" s="1"/>
  <c r="AP56" i="6"/>
  <c r="AZ56" i="6" s="1"/>
  <c r="AZ57" i="1"/>
  <c r="AN57" i="14"/>
  <c r="AX57" i="14" s="1"/>
  <c r="AN57" i="13"/>
  <c r="AX57" i="13" s="1"/>
  <c r="AN57" i="12"/>
  <c r="AX57" i="12" s="1"/>
  <c r="AN57" i="10"/>
  <c r="AX57" i="10" s="1"/>
  <c r="AN57" i="11"/>
  <c r="AX57" i="11" s="1"/>
  <c r="AN57" i="8"/>
  <c r="AX57" i="8" s="1"/>
  <c r="AN57" i="7"/>
  <c r="AX57" i="7" s="1"/>
  <c r="AN57" i="2"/>
  <c r="AX57" i="2" s="1"/>
  <c r="AN57" i="9"/>
  <c r="AX57" i="9" s="1"/>
  <c r="AN57" i="6"/>
  <c r="AX57" i="6" s="1"/>
  <c r="AN57" i="5"/>
  <c r="AX57" i="5" s="1"/>
  <c r="AX69" i="1"/>
  <c r="AL69" i="14"/>
  <c r="AV69" i="14" s="1"/>
  <c r="AL69" i="13"/>
  <c r="AV69" i="13" s="1"/>
  <c r="AL69" i="12"/>
  <c r="AV69" i="12" s="1"/>
  <c r="AL69" i="11"/>
  <c r="AV69" i="11" s="1"/>
  <c r="AL69" i="10"/>
  <c r="AV69" i="10" s="1"/>
  <c r="AL69" i="9"/>
  <c r="AV69" i="9" s="1"/>
  <c r="AL69" i="5"/>
  <c r="AV69" i="5" s="1"/>
  <c r="AL69" i="7"/>
  <c r="AV69" i="7" s="1"/>
  <c r="AL69" i="6"/>
  <c r="AV69" i="6" s="1"/>
  <c r="AL69" i="8"/>
  <c r="AV69" i="8" s="1"/>
  <c r="AL69" i="2"/>
  <c r="AV69" i="2" s="1"/>
  <c r="AV70" i="1"/>
  <c r="AJ70" i="14"/>
  <c r="AT70" i="14" s="1"/>
  <c r="AJ70" i="13"/>
  <c r="AT70" i="13" s="1"/>
  <c r="AJ70" i="12"/>
  <c r="AT70" i="12" s="1"/>
  <c r="AJ70" i="10"/>
  <c r="AT70" i="10" s="1"/>
  <c r="AJ70" i="11"/>
  <c r="AT70" i="11" s="1"/>
  <c r="AJ70" i="7"/>
  <c r="AT70" i="7" s="1"/>
  <c r="AJ70" i="9"/>
  <c r="AT70" i="9" s="1"/>
  <c r="AJ70" i="6"/>
  <c r="AT70" i="6" s="1"/>
  <c r="AJ70" i="2"/>
  <c r="AT70" i="2" s="1"/>
  <c r="AJ70" i="8"/>
  <c r="AT70" i="8" s="1"/>
  <c r="AJ70" i="5"/>
  <c r="AT70" i="5" s="1"/>
  <c r="AT71" i="1"/>
  <c r="AH71" i="14"/>
  <c r="AR71" i="14" s="1"/>
  <c r="AH71" i="13"/>
  <c r="AR71" i="13" s="1"/>
  <c r="AH71" i="12"/>
  <c r="AR71" i="12" s="1"/>
  <c r="AH71" i="10"/>
  <c r="AR71" i="10" s="1"/>
  <c r="AH71" i="11"/>
  <c r="AR71" i="11" s="1"/>
  <c r="AH71" i="9"/>
  <c r="AR71" i="9" s="1"/>
  <c r="AH71" i="8"/>
  <c r="AR71" i="8" s="1"/>
  <c r="AH71" i="7"/>
  <c r="AR71" i="7" s="1"/>
  <c r="AR71" i="6"/>
  <c r="AH71" i="5"/>
  <c r="AR71" i="5" s="1"/>
  <c r="AH71" i="2"/>
  <c r="AR71" i="2" s="1"/>
  <c r="BB71" i="1"/>
  <c r="AP71" i="14"/>
  <c r="AZ71" i="14" s="1"/>
  <c r="AP71" i="13"/>
  <c r="AZ71" i="13" s="1"/>
  <c r="AP71" i="12"/>
  <c r="AZ71" i="12" s="1"/>
  <c r="AP71" i="10"/>
  <c r="AZ71" i="10" s="1"/>
  <c r="AP71" i="11"/>
  <c r="AZ71" i="11" s="1"/>
  <c r="AP71" i="9"/>
  <c r="AZ71" i="9" s="1"/>
  <c r="AP71" i="6"/>
  <c r="AZ71" i="6" s="1"/>
  <c r="AP71" i="8"/>
  <c r="AZ71" i="8" s="1"/>
  <c r="AP71" i="7"/>
  <c r="AZ71" i="7" s="1"/>
  <c r="AP71" i="2"/>
  <c r="AZ71" i="2" s="1"/>
  <c r="AP71" i="5"/>
  <c r="AZ71" i="5" s="1"/>
  <c r="AZ81" i="1"/>
  <c r="AN81" i="14"/>
  <c r="AX81" i="14" s="1"/>
  <c r="AN81" i="13"/>
  <c r="AX81" i="13" s="1"/>
  <c r="AN81" i="12"/>
  <c r="AX81" i="12" s="1"/>
  <c r="AN81" i="11"/>
  <c r="AX81" i="11" s="1"/>
  <c r="AN81" i="10"/>
  <c r="AX81" i="10" s="1"/>
  <c r="AN81" i="9"/>
  <c r="AX81" i="9" s="1"/>
  <c r="AN81" i="8"/>
  <c r="AX81" i="8" s="1"/>
  <c r="AX81" i="7"/>
  <c r="AN81" i="5"/>
  <c r="AX81" i="5" s="1"/>
  <c r="AN81" i="6"/>
  <c r="AX81" i="6" s="1"/>
  <c r="AN81" i="2"/>
  <c r="AX81" i="2" s="1"/>
  <c r="AX82" i="1"/>
  <c r="AL82" i="14"/>
  <c r="AV82" i="14" s="1"/>
  <c r="AL82" i="13"/>
  <c r="AV82" i="13" s="1"/>
  <c r="AL82" i="12"/>
  <c r="AV82" i="12" s="1"/>
  <c r="AL82" i="11"/>
  <c r="AV82" i="11" s="1"/>
  <c r="AL82" i="9"/>
  <c r="AV82" i="9" s="1"/>
  <c r="AL82" i="10"/>
  <c r="AV82" i="10" s="1"/>
  <c r="AL82" i="8"/>
  <c r="AV82" i="8" s="1"/>
  <c r="AL82" i="5"/>
  <c r="AV82" i="5" s="1"/>
  <c r="AV82" i="7"/>
  <c r="AL82" i="6"/>
  <c r="AV82" i="6" s="1"/>
  <c r="AL82" i="2"/>
  <c r="AV82" i="2" s="1"/>
  <c r="BB82" i="1"/>
  <c r="AP82" i="14"/>
  <c r="AZ82" i="14" s="1"/>
  <c r="AP82" i="13"/>
  <c r="AZ82" i="13" s="1"/>
  <c r="AP82" i="12"/>
  <c r="AZ82" i="12" s="1"/>
  <c r="AP82" i="11"/>
  <c r="AZ82" i="11" s="1"/>
  <c r="AP82" i="10"/>
  <c r="AZ82" i="10" s="1"/>
  <c r="AP82" i="9"/>
  <c r="AZ82" i="9" s="1"/>
  <c r="AP82" i="8"/>
  <c r="AZ82" i="8" s="1"/>
  <c r="AP82" i="5"/>
  <c r="AZ82" i="5" s="1"/>
  <c r="AZ82" i="7"/>
  <c r="AP82" i="6"/>
  <c r="AZ82" i="6" s="1"/>
  <c r="AP82" i="2"/>
  <c r="AZ82" i="2" s="1"/>
  <c r="BA83" i="1"/>
  <c r="AO83" i="14"/>
  <c r="AY83" i="14" s="1"/>
  <c r="AO83" i="13"/>
  <c r="AY83" i="13" s="1"/>
  <c r="AO83" i="12"/>
  <c r="AY83" i="12" s="1"/>
  <c r="AO83" i="11"/>
  <c r="AY83" i="11" s="1"/>
  <c r="AO83" i="10"/>
  <c r="AY83" i="10" s="1"/>
  <c r="AO83" i="9"/>
  <c r="AY83" i="9" s="1"/>
  <c r="AO83" i="8"/>
  <c r="AY83" i="8" s="1"/>
  <c r="AY83" i="7"/>
  <c r="AO83" i="6"/>
  <c r="AY83" i="6" s="1"/>
  <c r="AO83" i="2"/>
  <c r="AY83" i="2" s="1"/>
  <c r="AO83" i="5"/>
  <c r="AY83" i="5" s="1"/>
  <c r="AT7" i="1"/>
  <c r="AH7" i="14"/>
  <c r="AR7" i="14" s="1"/>
  <c r="AH7" i="13"/>
  <c r="AR7" i="13" s="1"/>
  <c r="AH7" i="12"/>
  <c r="AR7" i="12" s="1"/>
  <c r="AH7" i="10"/>
  <c r="AR7" i="10" s="1"/>
  <c r="AH7" i="9"/>
  <c r="AR7" i="9" s="1"/>
  <c r="AH7" i="11"/>
  <c r="AR7" i="11" s="1"/>
  <c r="AH7" i="8"/>
  <c r="AR7" i="8" s="1"/>
  <c r="AH7" i="7"/>
  <c r="AR7" i="7" s="1"/>
  <c r="AR7" i="6"/>
  <c r="AH7" i="5"/>
  <c r="AR7" i="5" s="1"/>
  <c r="AH7" i="2"/>
  <c r="AR7" i="2" s="1"/>
  <c r="BB7" i="1"/>
  <c r="AP7" i="14"/>
  <c r="AZ7" i="14" s="1"/>
  <c r="AP7" i="13"/>
  <c r="AZ7" i="13" s="1"/>
  <c r="AP7" i="10"/>
  <c r="AZ7" i="10" s="1"/>
  <c r="AP7" i="9"/>
  <c r="AZ7" i="9" s="1"/>
  <c r="AP7" i="12"/>
  <c r="AZ7" i="12" s="1"/>
  <c r="AP7" i="11"/>
  <c r="AZ7" i="11" s="1"/>
  <c r="AP7" i="8"/>
  <c r="AZ7" i="8" s="1"/>
  <c r="AP7" i="5"/>
  <c r="AZ7" i="5" s="1"/>
  <c r="AP7" i="2"/>
  <c r="AZ7" i="2" s="1"/>
  <c r="AP7" i="7"/>
  <c r="AZ7" i="7" s="1"/>
  <c r="AP7" i="6"/>
  <c r="AZ7" i="6" s="1"/>
  <c r="AW9" i="1"/>
  <c r="AK9" i="14"/>
  <c r="AU9" i="14" s="1"/>
  <c r="AK9" i="13"/>
  <c r="AU9" i="13" s="1"/>
  <c r="AK9" i="12"/>
  <c r="AU9" i="12" s="1"/>
  <c r="AK9" i="11"/>
  <c r="AU9" i="11" s="1"/>
  <c r="AK9" i="9"/>
  <c r="AU9" i="9" s="1"/>
  <c r="AK9" i="8"/>
  <c r="AU9" i="8" s="1"/>
  <c r="AK9" i="10"/>
  <c r="AU9" i="10" s="1"/>
  <c r="AK9" i="7"/>
  <c r="AU9" i="7" s="1"/>
  <c r="AK9" i="6"/>
  <c r="AU9" i="6" s="1"/>
  <c r="AK9" i="5"/>
  <c r="AU9" i="5" s="1"/>
  <c r="AK9" i="2"/>
  <c r="AU9" i="2" s="1"/>
  <c r="AY8" i="1"/>
  <c r="AM8" i="13"/>
  <c r="AW8" i="13" s="1"/>
  <c r="AM8" i="12"/>
  <c r="AW8" i="12" s="1"/>
  <c r="AM8" i="14"/>
  <c r="AW8" i="14" s="1"/>
  <c r="AM8" i="11"/>
  <c r="AW8" i="11" s="1"/>
  <c r="AM8" i="10"/>
  <c r="AW8" i="10" s="1"/>
  <c r="AM8" i="9"/>
  <c r="AW8" i="9" s="1"/>
  <c r="AM8" i="8"/>
  <c r="AW8" i="8" s="1"/>
  <c r="AM8" i="7"/>
  <c r="AW8" i="7" s="1"/>
  <c r="AM8" i="6"/>
  <c r="AW8" i="6" s="1"/>
  <c r="AM8" i="2"/>
  <c r="AW8" i="2" s="1"/>
  <c r="AM8" i="5"/>
  <c r="AW8" i="5" s="1"/>
  <c r="AV15" i="1"/>
  <c r="AJ15" i="14"/>
  <c r="AT15" i="14" s="1"/>
  <c r="AJ15" i="12"/>
  <c r="AT15" i="12" s="1"/>
  <c r="AJ15" i="11"/>
  <c r="AT15" i="11" s="1"/>
  <c r="AJ15" i="13"/>
  <c r="AT15" i="13" s="1"/>
  <c r="AJ15" i="8"/>
  <c r="AT15" i="8" s="1"/>
  <c r="AJ15" i="7"/>
  <c r="AT15" i="7" s="1"/>
  <c r="AJ15" i="6"/>
  <c r="AT15" i="6" s="1"/>
  <c r="AJ15" i="5"/>
  <c r="AT15" i="5" s="1"/>
  <c r="AJ15" i="2"/>
  <c r="AT15" i="2" s="1"/>
  <c r="AJ15" i="10"/>
  <c r="AT15" i="10" s="1"/>
  <c r="AJ15" i="9"/>
  <c r="AT15" i="9" s="1"/>
  <c r="AT16" i="1"/>
  <c r="AH16" i="14"/>
  <c r="AR16" i="14" s="1"/>
  <c r="AH16" i="13"/>
  <c r="AR16" i="13" s="1"/>
  <c r="AH16" i="11"/>
  <c r="AR16" i="11" s="1"/>
  <c r="AH16" i="12"/>
  <c r="AR16" i="12" s="1"/>
  <c r="AH16" i="10"/>
  <c r="AR16" i="10" s="1"/>
  <c r="AH16" i="9"/>
  <c r="AR16" i="9" s="1"/>
  <c r="AH16" i="8"/>
  <c r="AR16" i="8" s="1"/>
  <c r="AH16" i="7"/>
  <c r="AR16" i="7" s="1"/>
  <c r="AH16" i="5"/>
  <c r="AR16" i="5" s="1"/>
  <c r="AH16" i="2"/>
  <c r="AR16" i="2" s="1"/>
  <c r="AR16" i="6"/>
  <c r="BB16" i="1"/>
  <c r="AP16" i="14"/>
  <c r="AZ16" i="14" s="1"/>
  <c r="AP16" i="13"/>
  <c r="AZ16" i="13" s="1"/>
  <c r="AP16" i="11"/>
  <c r="AZ16" i="11" s="1"/>
  <c r="AP16" i="12"/>
  <c r="AZ16" i="12" s="1"/>
  <c r="AP16" i="10"/>
  <c r="AZ16" i="10" s="1"/>
  <c r="AP16" i="9"/>
  <c r="AZ16" i="9" s="1"/>
  <c r="AP16" i="8"/>
  <c r="AZ16" i="8" s="1"/>
  <c r="AP16" i="7"/>
  <c r="AZ16" i="7" s="1"/>
  <c r="AP16" i="5"/>
  <c r="AZ16" i="5" s="1"/>
  <c r="AP16" i="2"/>
  <c r="AZ16" i="2" s="1"/>
  <c r="AP16" i="6"/>
  <c r="AZ16" i="6" s="1"/>
  <c r="AZ17" i="1"/>
  <c r="AN17" i="14"/>
  <c r="AX17" i="14" s="1"/>
  <c r="AN17" i="12"/>
  <c r="AX17" i="12" s="1"/>
  <c r="AN17" i="13"/>
  <c r="AX17" i="13" s="1"/>
  <c r="AN17" i="11"/>
  <c r="AX17" i="11" s="1"/>
  <c r="AN17" i="10"/>
  <c r="AX17" i="10" s="1"/>
  <c r="AN17" i="8"/>
  <c r="AX17" i="8" s="1"/>
  <c r="AN17" i="9"/>
  <c r="AX17" i="9" s="1"/>
  <c r="AN17" i="7"/>
  <c r="AX17" i="7" s="1"/>
  <c r="AN17" i="6"/>
  <c r="AX17" i="6" s="1"/>
  <c r="AN17" i="2"/>
  <c r="AX17" i="2" s="1"/>
  <c r="AN17" i="5"/>
  <c r="AX17" i="5" s="1"/>
  <c r="AX22" i="1"/>
  <c r="AL22" i="14"/>
  <c r="AV22" i="14" s="1"/>
  <c r="AL22" i="13"/>
  <c r="AV22" i="13" s="1"/>
  <c r="AL22" i="11"/>
  <c r="AV22" i="11" s="1"/>
  <c r="AL22" i="12"/>
  <c r="AV22" i="12" s="1"/>
  <c r="AL22" i="10"/>
  <c r="AV22" i="10" s="1"/>
  <c r="AL22" i="9"/>
  <c r="AV22" i="9" s="1"/>
  <c r="AL22" i="8"/>
  <c r="AV22" i="8" s="1"/>
  <c r="AL22" i="2"/>
  <c r="AV22" i="2" s="1"/>
  <c r="AL22" i="7"/>
  <c r="AV22" i="7" s="1"/>
  <c r="AL22" i="6"/>
  <c r="AV22" i="6" s="1"/>
  <c r="AL22" i="5"/>
  <c r="AV22" i="5" s="1"/>
  <c r="AV23" i="1"/>
  <c r="AJ23" i="14"/>
  <c r="AT23" i="14" s="1"/>
  <c r="AJ23" i="13"/>
  <c r="AT23" i="13" s="1"/>
  <c r="AJ23" i="12"/>
  <c r="AT23" i="12" s="1"/>
  <c r="AJ23" i="11"/>
  <c r="AT23" i="11" s="1"/>
  <c r="AJ23" i="10"/>
  <c r="AT23" i="10" s="1"/>
  <c r="AJ23" i="9"/>
  <c r="AT23" i="9" s="1"/>
  <c r="AJ23" i="8"/>
  <c r="AT23" i="8" s="1"/>
  <c r="AJ23" i="6"/>
  <c r="AT23" i="6" s="1"/>
  <c r="AJ23" i="5"/>
  <c r="AT23" i="5" s="1"/>
  <c r="AJ23" i="2"/>
  <c r="AT23" i="2" s="1"/>
  <c r="AJ23" i="7"/>
  <c r="AT23" i="7" s="1"/>
  <c r="AT24" i="1"/>
  <c r="AH24" i="14"/>
  <c r="AR24" i="14" s="1"/>
  <c r="AH24" i="13"/>
  <c r="AR24" i="13" s="1"/>
  <c r="AH24" i="11"/>
  <c r="AR24" i="11" s="1"/>
  <c r="AH24" i="12"/>
  <c r="AR24" i="12" s="1"/>
  <c r="AH24" i="10"/>
  <c r="AR24" i="10" s="1"/>
  <c r="AH24" i="9"/>
  <c r="AR24" i="9" s="1"/>
  <c r="AH24" i="8"/>
  <c r="AR24" i="8" s="1"/>
  <c r="AH24" i="7"/>
  <c r="AR24" i="7" s="1"/>
  <c r="AH24" i="5"/>
  <c r="AR24" i="5" s="1"/>
  <c r="AH24" i="2"/>
  <c r="AR24" i="2" s="1"/>
  <c r="AR24" i="6"/>
  <c r="BB24" i="1"/>
  <c r="AP24" i="14"/>
  <c r="AZ24" i="14" s="1"/>
  <c r="AP24" i="11"/>
  <c r="AZ24" i="11" s="1"/>
  <c r="AP24" i="12"/>
  <c r="AZ24" i="12" s="1"/>
  <c r="AP24" i="10"/>
  <c r="AZ24" i="10" s="1"/>
  <c r="AP24" i="9"/>
  <c r="AZ24" i="9" s="1"/>
  <c r="AP24" i="13"/>
  <c r="AZ24" i="13" s="1"/>
  <c r="AP24" i="8"/>
  <c r="AZ24" i="8" s="1"/>
  <c r="AP24" i="7"/>
  <c r="AZ24" i="7" s="1"/>
  <c r="AP24" i="5"/>
  <c r="AZ24" i="5" s="1"/>
  <c r="AP24" i="2"/>
  <c r="AZ24" i="2" s="1"/>
  <c r="AP24" i="6"/>
  <c r="AZ24" i="6" s="1"/>
  <c r="AZ31" i="1"/>
  <c r="AN31" i="14"/>
  <c r="AX31" i="14" s="1"/>
  <c r="AN31" i="13"/>
  <c r="AX31" i="13" s="1"/>
  <c r="AN31" i="12"/>
  <c r="AX31" i="12" s="1"/>
  <c r="AN31" i="11"/>
  <c r="AX31" i="11" s="1"/>
  <c r="AN31" i="10"/>
  <c r="AX31" i="10" s="1"/>
  <c r="AN31" i="8"/>
  <c r="AX31" i="8" s="1"/>
  <c r="AN31" i="6"/>
  <c r="AX31" i="6" s="1"/>
  <c r="AN31" i="2"/>
  <c r="AX31" i="2" s="1"/>
  <c r="AN31" i="7"/>
  <c r="AX31" i="7" s="1"/>
  <c r="AN31" i="9"/>
  <c r="AX31" i="9" s="1"/>
  <c r="AN31" i="5"/>
  <c r="AX31" i="5" s="1"/>
  <c r="AX32" i="1"/>
  <c r="AL32" i="14"/>
  <c r="AV32" i="14" s="1"/>
  <c r="AL32" i="13"/>
  <c r="AV32" i="13" s="1"/>
  <c r="AL32" i="12"/>
  <c r="AV32" i="12" s="1"/>
  <c r="AL32" i="11"/>
  <c r="AV32" i="11" s="1"/>
  <c r="AL32" i="10"/>
  <c r="AV32" i="10" s="1"/>
  <c r="AL32" i="9"/>
  <c r="AV32" i="9" s="1"/>
  <c r="AL32" i="8"/>
  <c r="AV32" i="8" s="1"/>
  <c r="AL32" i="7"/>
  <c r="AV32" i="7" s="1"/>
  <c r="AL32" i="2"/>
  <c r="AV32" i="2" s="1"/>
  <c r="AL32" i="6"/>
  <c r="AV32" i="6" s="1"/>
  <c r="AL32" i="5"/>
  <c r="AV32" i="5" s="1"/>
  <c r="AV33" i="1"/>
  <c r="AJ33" i="14"/>
  <c r="AT33" i="14" s="1"/>
  <c r="AJ33" i="13"/>
  <c r="AT33" i="13" s="1"/>
  <c r="AJ33" i="12"/>
  <c r="AT33" i="12" s="1"/>
  <c r="AJ33" i="10"/>
  <c r="AT33" i="10" s="1"/>
  <c r="AJ33" i="11"/>
  <c r="AT33" i="11" s="1"/>
  <c r="AJ33" i="9"/>
  <c r="AT33" i="9" s="1"/>
  <c r="AJ33" i="8"/>
  <c r="AT33" i="8" s="1"/>
  <c r="AJ33" i="7"/>
  <c r="AT33" i="7" s="1"/>
  <c r="AJ33" i="6"/>
  <c r="AT33" i="6" s="1"/>
  <c r="AJ33" i="2"/>
  <c r="AT33" i="2" s="1"/>
  <c r="AJ33" i="5"/>
  <c r="AT33" i="5" s="1"/>
  <c r="AT41" i="1"/>
  <c r="AH41" i="14"/>
  <c r="AR41" i="14" s="1"/>
  <c r="AH41" i="13"/>
  <c r="AR41" i="13" s="1"/>
  <c r="AH41" i="12"/>
  <c r="AR41" i="12" s="1"/>
  <c r="AH41" i="11"/>
  <c r="AR41" i="11" s="1"/>
  <c r="AH41" i="9"/>
  <c r="AR41" i="9" s="1"/>
  <c r="AH41" i="10"/>
  <c r="AR41" i="10" s="1"/>
  <c r="AH41" i="5"/>
  <c r="AR41" i="5" s="1"/>
  <c r="AH41" i="8"/>
  <c r="AR41" i="8" s="1"/>
  <c r="AR41" i="6"/>
  <c r="AH41" i="2"/>
  <c r="AR41" i="2" s="1"/>
  <c r="AH41" i="7"/>
  <c r="AR41" i="7" s="1"/>
  <c r="BB41" i="1"/>
  <c r="AP41" i="14"/>
  <c r="AZ41" i="14" s="1"/>
  <c r="AP41" i="13"/>
  <c r="AZ41" i="13" s="1"/>
  <c r="AP41" i="12"/>
  <c r="AZ41" i="12" s="1"/>
  <c r="AP41" i="11"/>
  <c r="AZ41" i="11" s="1"/>
  <c r="AP41" i="9"/>
  <c r="AZ41" i="9" s="1"/>
  <c r="AP41" i="10"/>
  <c r="AZ41" i="10" s="1"/>
  <c r="AP41" i="5"/>
  <c r="AZ41" i="5" s="1"/>
  <c r="AP41" i="6"/>
  <c r="AZ41" i="6" s="1"/>
  <c r="AP41" i="8"/>
  <c r="AZ41" i="8" s="1"/>
  <c r="AP41" i="7"/>
  <c r="AZ41" i="7" s="1"/>
  <c r="AP41" i="2"/>
  <c r="AZ41" i="2" s="1"/>
  <c r="AU43" i="1"/>
  <c r="AI43" i="14"/>
  <c r="AS43" i="14" s="1"/>
  <c r="AI43" i="13"/>
  <c r="AS43" i="13" s="1"/>
  <c r="AI43" i="12"/>
  <c r="AS43" i="12" s="1"/>
  <c r="AI43" i="11"/>
  <c r="AS43" i="11" s="1"/>
  <c r="AI43" i="9"/>
  <c r="AS43" i="9" s="1"/>
  <c r="AI43" i="8"/>
  <c r="AS43" i="8" s="1"/>
  <c r="AI43" i="7"/>
  <c r="AS43" i="7" s="1"/>
  <c r="AI43" i="2"/>
  <c r="AS43" i="2" s="1"/>
  <c r="AI43" i="10"/>
  <c r="AS43" i="10" s="1"/>
  <c r="AS43" i="6"/>
  <c r="AI43" i="5"/>
  <c r="AS43" i="5" s="1"/>
  <c r="BC43" i="1"/>
  <c r="AQ43" i="14"/>
  <c r="BA43" i="14" s="1"/>
  <c r="AQ43" i="13"/>
  <c r="BA43" i="13" s="1"/>
  <c r="AQ43" i="12"/>
  <c r="BA43" i="12" s="1"/>
  <c r="AQ43" i="11"/>
  <c r="BA43" i="11" s="1"/>
  <c r="AQ43" i="9"/>
  <c r="BA43" i="9" s="1"/>
  <c r="AQ43" i="8"/>
  <c r="BA43" i="8" s="1"/>
  <c r="AQ43" i="10"/>
  <c r="BA43" i="10" s="1"/>
  <c r="AQ43" i="7"/>
  <c r="BA43" i="7" s="1"/>
  <c r="AQ43" i="2"/>
  <c r="BA43" i="2" s="1"/>
  <c r="AQ43" i="6"/>
  <c r="BA43" i="6" s="1"/>
  <c r="AQ43" i="5"/>
  <c r="BA43" i="5" s="1"/>
  <c r="BA55" i="1"/>
  <c r="AO55" i="14"/>
  <c r="AY55" i="14" s="1"/>
  <c r="AO55" i="13"/>
  <c r="AY55" i="13" s="1"/>
  <c r="AO55" i="12"/>
  <c r="AY55" i="12" s="1"/>
  <c r="AO55" i="10"/>
  <c r="AY55" i="10" s="1"/>
  <c r="AO55" i="11"/>
  <c r="AY55" i="11" s="1"/>
  <c r="AO55" i="9"/>
  <c r="AY55" i="9" s="1"/>
  <c r="AO55" i="8"/>
  <c r="AY55" i="8" s="1"/>
  <c r="AO55" i="7"/>
  <c r="AY55" i="7" s="1"/>
  <c r="AO55" i="6"/>
  <c r="AY55" i="6" s="1"/>
  <c r="AO55" i="5"/>
  <c r="AY55" i="5" s="1"/>
  <c r="AO55" i="2"/>
  <c r="AY55" i="2" s="1"/>
  <c r="AY56" i="1"/>
  <c r="AM56" i="14"/>
  <c r="AW56" i="14" s="1"/>
  <c r="AM56" i="13"/>
  <c r="AW56" i="13" s="1"/>
  <c r="AM56" i="11"/>
  <c r="AW56" i="11" s="1"/>
  <c r="AM56" i="10"/>
  <c r="AW56" i="10" s="1"/>
  <c r="AM56" i="12"/>
  <c r="AW56" i="12" s="1"/>
  <c r="AM56" i="9"/>
  <c r="AW56" i="9" s="1"/>
  <c r="AM56" i="8"/>
  <c r="AW56" i="8" s="1"/>
  <c r="AM56" i="7"/>
  <c r="AW56" i="7" s="1"/>
  <c r="AM56" i="6"/>
  <c r="AW56" i="6" s="1"/>
  <c r="AM56" i="2"/>
  <c r="AW56" i="2" s="1"/>
  <c r="AM56" i="5"/>
  <c r="AW56" i="5" s="1"/>
  <c r="AW57" i="1"/>
  <c r="AK57" i="14"/>
  <c r="AU57" i="14" s="1"/>
  <c r="AK57" i="13"/>
  <c r="AU57" i="13" s="1"/>
  <c r="AK57" i="12"/>
  <c r="AU57" i="12" s="1"/>
  <c r="AK57" i="11"/>
  <c r="AU57" i="11" s="1"/>
  <c r="AK57" i="10"/>
  <c r="AU57" i="10" s="1"/>
  <c r="AK57" i="9"/>
  <c r="AU57" i="9" s="1"/>
  <c r="AK57" i="8"/>
  <c r="AU57" i="8" s="1"/>
  <c r="AK57" i="7"/>
  <c r="AU57" i="7" s="1"/>
  <c r="AK57" i="5"/>
  <c r="AU57" i="5" s="1"/>
  <c r="AK57" i="6"/>
  <c r="AU57" i="6" s="1"/>
  <c r="AK57" i="2"/>
  <c r="AU57" i="2" s="1"/>
  <c r="AU69" i="1"/>
  <c r="AI69" i="14"/>
  <c r="AS69" i="14" s="1"/>
  <c r="AI69" i="13"/>
  <c r="AS69" i="13" s="1"/>
  <c r="AI69" i="12"/>
  <c r="AS69" i="12" s="1"/>
  <c r="AI69" i="10"/>
  <c r="AS69" i="10" s="1"/>
  <c r="AI69" i="11"/>
  <c r="AS69" i="11" s="1"/>
  <c r="AI69" i="9"/>
  <c r="AS69" i="9" s="1"/>
  <c r="AI69" i="8"/>
  <c r="AS69" i="8" s="1"/>
  <c r="AI69" i="7"/>
  <c r="AS69" i="7" s="1"/>
  <c r="AS69" i="6"/>
  <c r="AI69" i="2"/>
  <c r="AS69" i="2" s="1"/>
  <c r="AI69" i="5"/>
  <c r="AS69" i="5" s="1"/>
  <c r="BC69" i="1"/>
  <c r="AQ69" i="14"/>
  <c r="BA69" i="14" s="1"/>
  <c r="AQ69" i="13"/>
  <c r="BA69" i="13" s="1"/>
  <c r="AQ69" i="12"/>
  <c r="BA69" i="12" s="1"/>
  <c r="AQ69" i="11"/>
  <c r="BA69" i="11" s="1"/>
  <c r="AQ69" i="10"/>
  <c r="BA69" i="10" s="1"/>
  <c r="AQ69" i="9"/>
  <c r="BA69" i="9" s="1"/>
  <c r="AQ69" i="8"/>
  <c r="BA69" i="8" s="1"/>
  <c r="AQ69" i="7"/>
  <c r="BA69" i="7" s="1"/>
  <c r="AQ69" i="6"/>
  <c r="BA69" i="6" s="1"/>
  <c r="AQ69" i="2"/>
  <c r="BA69" i="2" s="1"/>
  <c r="AQ69" i="5"/>
  <c r="BA69" i="5" s="1"/>
  <c r="AU71" i="1"/>
  <c r="AI71" i="14"/>
  <c r="AS71" i="14" s="1"/>
  <c r="AI71" i="13"/>
  <c r="AS71" i="13" s="1"/>
  <c r="AI71" i="12"/>
  <c r="AS71" i="12" s="1"/>
  <c r="AI71" i="11"/>
  <c r="AS71" i="11" s="1"/>
  <c r="AI71" i="10"/>
  <c r="AS71" i="10" s="1"/>
  <c r="AI71" i="9"/>
  <c r="AS71" i="9" s="1"/>
  <c r="AI71" i="8"/>
  <c r="AS71" i="8" s="1"/>
  <c r="AI71" i="7"/>
  <c r="AS71" i="7" s="1"/>
  <c r="AS71" i="6"/>
  <c r="AI71" i="5"/>
  <c r="AS71" i="5" s="1"/>
  <c r="AI71" i="2"/>
  <c r="AS71" i="2" s="1"/>
  <c r="BC71" i="1"/>
  <c r="AQ71" i="14"/>
  <c r="BA71" i="14" s="1"/>
  <c r="AQ71" i="13"/>
  <c r="BA71" i="13" s="1"/>
  <c r="AQ71" i="12"/>
  <c r="BA71" i="12" s="1"/>
  <c r="AQ71" i="11"/>
  <c r="BA71" i="11" s="1"/>
  <c r="AQ71" i="10"/>
  <c r="BA71" i="10" s="1"/>
  <c r="AQ71" i="9"/>
  <c r="BA71" i="9" s="1"/>
  <c r="AQ71" i="8"/>
  <c r="BA71" i="8" s="1"/>
  <c r="AQ71" i="7"/>
  <c r="BA71" i="7" s="1"/>
  <c r="AQ71" i="6"/>
  <c r="BA71" i="6" s="1"/>
  <c r="AQ71" i="5"/>
  <c r="BA71" i="5" s="1"/>
  <c r="AQ71" i="2"/>
  <c r="BA71" i="2" s="1"/>
  <c r="BA81" i="1"/>
  <c r="AO81" i="14"/>
  <c r="AY81" i="14" s="1"/>
  <c r="AO81" i="13"/>
  <c r="AY81" i="13" s="1"/>
  <c r="AO81" i="12"/>
  <c r="AY81" i="12" s="1"/>
  <c r="AO81" i="11"/>
  <c r="AY81" i="11" s="1"/>
  <c r="AO81" i="10"/>
  <c r="AY81" i="10" s="1"/>
  <c r="AO81" i="9"/>
  <c r="AY81" i="9" s="1"/>
  <c r="AO81" i="8"/>
  <c r="AY81" i="8" s="1"/>
  <c r="AY81" i="7"/>
  <c r="AO81" i="5"/>
  <c r="AY81" i="5" s="1"/>
  <c r="AO81" i="6"/>
  <c r="AY81" i="6" s="1"/>
  <c r="AO81" i="2"/>
  <c r="AY81" i="2" s="1"/>
  <c r="AY82" i="1"/>
  <c r="AM82" i="14"/>
  <c r="AW82" i="14" s="1"/>
  <c r="AM82" i="13"/>
  <c r="AW82" i="13" s="1"/>
  <c r="AM82" i="12"/>
  <c r="AW82" i="12" s="1"/>
  <c r="AM82" i="11"/>
  <c r="AW82" i="11" s="1"/>
  <c r="AM82" i="10"/>
  <c r="AW82" i="10" s="1"/>
  <c r="AM82" i="9"/>
  <c r="AW82" i="9" s="1"/>
  <c r="AM82" i="8"/>
  <c r="AW82" i="8" s="1"/>
  <c r="AW82" i="7"/>
  <c r="AM82" i="6"/>
  <c r="AW82" i="6" s="1"/>
  <c r="AM82" i="2"/>
  <c r="AW82" i="2" s="1"/>
  <c r="AM82" i="5"/>
  <c r="AW82" i="5" s="1"/>
  <c r="AX83" i="1"/>
  <c r="AL83" i="14"/>
  <c r="AV83" i="14" s="1"/>
  <c r="AL83" i="12"/>
  <c r="AV83" i="12" s="1"/>
  <c r="AL83" i="10"/>
  <c r="AV83" i="10" s="1"/>
  <c r="AL83" i="13"/>
  <c r="AV83" i="13" s="1"/>
  <c r="AL83" i="11"/>
  <c r="AV83" i="11" s="1"/>
  <c r="AL83" i="8"/>
  <c r="AV83" i="8" s="1"/>
  <c r="AL83" i="6"/>
  <c r="AV83" i="6" s="1"/>
  <c r="AL83" i="9"/>
  <c r="AV83" i="9" s="1"/>
  <c r="AL83" i="5"/>
  <c r="AV83" i="5" s="1"/>
  <c r="AL83" i="2"/>
  <c r="AV83" i="2" s="1"/>
  <c r="AV83" i="7"/>
  <c r="AV7" i="1"/>
  <c r="AJ7" i="14"/>
  <c r="AT7" i="14" s="1"/>
  <c r="AJ7" i="12"/>
  <c r="AT7" i="12" s="1"/>
  <c r="AJ7" i="11"/>
  <c r="AT7" i="11" s="1"/>
  <c r="AJ7" i="13"/>
  <c r="AT7" i="13" s="1"/>
  <c r="AJ7" i="9"/>
  <c r="AT7" i="9" s="1"/>
  <c r="AJ7" i="8"/>
  <c r="AT7" i="8" s="1"/>
  <c r="AJ7" i="7"/>
  <c r="AT7" i="7" s="1"/>
  <c r="AJ7" i="6"/>
  <c r="AT7" i="6" s="1"/>
  <c r="AJ7" i="5"/>
  <c r="AT7" i="5" s="1"/>
  <c r="AJ7" i="2"/>
  <c r="AT7" i="2" s="1"/>
  <c r="AJ7" i="10"/>
  <c r="AT7" i="10" s="1"/>
  <c r="AZ7" i="1"/>
  <c r="AN7" i="14"/>
  <c r="AX7" i="14" s="1"/>
  <c r="AN7" i="12"/>
  <c r="AX7" i="12" s="1"/>
  <c r="AN7" i="11"/>
  <c r="AX7" i="11" s="1"/>
  <c r="AN7" i="13"/>
  <c r="AX7" i="13" s="1"/>
  <c r="AN7" i="8"/>
  <c r="AX7" i="8" s="1"/>
  <c r="AN7" i="10"/>
  <c r="AX7" i="10" s="1"/>
  <c r="AN7" i="9"/>
  <c r="AX7" i="9" s="1"/>
  <c r="AN7" i="7"/>
  <c r="AX7" i="7" s="1"/>
  <c r="AN7" i="6"/>
  <c r="AX7" i="6" s="1"/>
  <c r="AN7" i="5"/>
  <c r="AX7" i="5" s="1"/>
  <c r="AN7" i="2"/>
  <c r="AX7" i="2" s="1"/>
  <c r="BC9" i="1"/>
  <c r="AQ9" i="14"/>
  <c r="BA9" i="14" s="1"/>
  <c r="AQ9" i="13"/>
  <c r="BA9" i="13" s="1"/>
  <c r="AQ9" i="11"/>
  <c r="BA9" i="11" s="1"/>
  <c r="AQ9" i="12"/>
  <c r="BA9" i="12" s="1"/>
  <c r="AQ9" i="10"/>
  <c r="BA9" i="10" s="1"/>
  <c r="AQ9" i="9"/>
  <c r="BA9" i="9" s="1"/>
  <c r="AQ9" i="5"/>
  <c r="BA9" i="5" s="1"/>
  <c r="AQ9" i="2"/>
  <c r="BA9" i="2" s="1"/>
  <c r="AQ9" i="7"/>
  <c r="BA9" i="7" s="1"/>
  <c r="AQ9" i="6"/>
  <c r="BA9" i="6" s="1"/>
  <c r="AQ9" i="8"/>
  <c r="BA9" i="8" s="1"/>
  <c r="AY9" i="1"/>
  <c r="AM9" i="14"/>
  <c r="AW9" i="14" s="1"/>
  <c r="AM9" i="13"/>
  <c r="AW9" i="13" s="1"/>
  <c r="AM9" i="11"/>
  <c r="AW9" i="11" s="1"/>
  <c r="AM9" i="12"/>
  <c r="AW9" i="12" s="1"/>
  <c r="AM9" i="10"/>
  <c r="AW9" i="10" s="1"/>
  <c r="AM9" i="9"/>
  <c r="AW9" i="9" s="1"/>
  <c r="AM9" i="8"/>
  <c r="AW9" i="8" s="1"/>
  <c r="AM9" i="5"/>
  <c r="AW9" i="5" s="1"/>
  <c r="AM9" i="2"/>
  <c r="AW9" i="2" s="1"/>
  <c r="AM9" i="7"/>
  <c r="AW9" i="7" s="1"/>
  <c r="AM9" i="6"/>
  <c r="AW9" i="6" s="1"/>
  <c r="AU9" i="1"/>
  <c r="AI9" i="14"/>
  <c r="AS9" i="14" s="1"/>
  <c r="AI9" i="13"/>
  <c r="AS9" i="13" s="1"/>
  <c r="AI9" i="11"/>
  <c r="AS9" i="11" s="1"/>
  <c r="AI9" i="12"/>
  <c r="AS9" i="12" s="1"/>
  <c r="AI9" i="10"/>
  <c r="AS9" i="10" s="1"/>
  <c r="AI9" i="5"/>
  <c r="AS9" i="5" s="1"/>
  <c r="AI9" i="2"/>
  <c r="AS9" i="2" s="1"/>
  <c r="AI9" i="8"/>
  <c r="AS9" i="8" s="1"/>
  <c r="AI9" i="7"/>
  <c r="AS9" i="7" s="1"/>
  <c r="AS9" i="6"/>
  <c r="AI9" i="9"/>
  <c r="AS9" i="9" s="1"/>
  <c r="BA8" i="1"/>
  <c r="AO8" i="14"/>
  <c r="AY8" i="14" s="1"/>
  <c r="AO8" i="13"/>
  <c r="AY8" i="13" s="1"/>
  <c r="AO8" i="11"/>
  <c r="AY8" i="11" s="1"/>
  <c r="AO8" i="12"/>
  <c r="AY8" i="12" s="1"/>
  <c r="AO8" i="10"/>
  <c r="AY8" i="10" s="1"/>
  <c r="AO8" i="9"/>
  <c r="AY8" i="9" s="1"/>
  <c r="AO8" i="8"/>
  <c r="AY8" i="8" s="1"/>
  <c r="AO8" i="7"/>
  <c r="AY8" i="7" s="1"/>
  <c r="AO8" i="6"/>
  <c r="AY8" i="6" s="1"/>
  <c r="AO8" i="2"/>
  <c r="AY8" i="2" s="1"/>
  <c r="AO8" i="5"/>
  <c r="AY8" i="5" s="1"/>
  <c r="AW8" i="1"/>
  <c r="AK8" i="14"/>
  <c r="AU8" i="14" s="1"/>
  <c r="AK8" i="13"/>
  <c r="AU8" i="13" s="1"/>
  <c r="AK8" i="11"/>
  <c r="AU8" i="11" s="1"/>
  <c r="AK8" i="12"/>
  <c r="AU8" i="12" s="1"/>
  <c r="AK8" i="9"/>
  <c r="AU8" i="9" s="1"/>
  <c r="AK8" i="10"/>
  <c r="AU8" i="10" s="1"/>
  <c r="AK8" i="8"/>
  <c r="AU8" i="8" s="1"/>
  <c r="AK8" i="7"/>
  <c r="AU8" i="7" s="1"/>
  <c r="AK8" i="6"/>
  <c r="AU8" i="6" s="1"/>
  <c r="AK8" i="2"/>
  <c r="AU8" i="2" s="1"/>
  <c r="AK8" i="5"/>
  <c r="AU8" i="5" s="1"/>
  <c r="AT15" i="1"/>
  <c r="AH15" i="13"/>
  <c r="AR15" i="13" s="1"/>
  <c r="AH15" i="14"/>
  <c r="AR15" i="14" s="1"/>
  <c r="AH15" i="12"/>
  <c r="AR15" i="12" s="1"/>
  <c r="AH15" i="10"/>
  <c r="AR15" i="10" s="1"/>
  <c r="AH15" i="9"/>
  <c r="AR15" i="9" s="1"/>
  <c r="AH15" i="11"/>
  <c r="AR15" i="11" s="1"/>
  <c r="AH15" i="8"/>
  <c r="AR15" i="8" s="1"/>
  <c r="AH15" i="7"/>
  <c r="AR15" i="7" s="1"/>
  <c r="AR15" i="6"/>
  <c r="AH15" i="5"/>
  <c r="AR15" i="5" s="1"/>
  <c r="AH15" i="2"/>
  <c r="AR15" i="2" s="1"/>
  <c r="AX15" i="1"/>
  <c r="AL15" i="14"/>
  <c r="AV15" i="14" s="1"/>
  <c r="AL15" i="13"/>
  <c r="AV15" i="13" s="1"/>
  <c r="AL15" i="11"/>
  <c r="AV15" i="11" s="1"/>
  <c r="AL15" i="10"/>
  <c r="AV15" i="10" s="1"/>
  <c r="AL15" i="9"/>
  <c r="AV15" i="9" s="1"/>
  <c r="AL15" i="12"/>
  <c r="AV15" i="12" s="1"/>
  <c r="AL15" i="8"/>
  <c r="AV15" i="8" s="1"/>
  <c r="AL15" i="7"/>
  <c r="AV15" i="7" s="1"/>
  <c r="AL15" i="6"/>
  <c r="AV15" i="6" s="1"/>
  <c r="AL15" i="5"/>
  <c r="AV15" i="5" s="1"/>
  <c r="AL15" i="2"/>
  <c r="AV15" i="2" s="1"/>
  <c r="BB15" i="1"/>
  <c r="AP15" i="14"/>
  <c r="AZ15" i="14" s="1"/>
  <c r="AP15" i="13"/>
  <c r="AZ15" i="13" s="1"/>
  <c r="AP15" i="10"/>
  <c r="AZ15" i="10" s="1"/>
  <c r="AP15" i="9"/>
  <c r="AZ15" i="9" s="1"/>
  <c r="AP15" i="12"/>
  <c r="AZ15" i="12" s="1"/>
  <c r="AP15" i="11"/>
  <c r="AZ15" i="11" s="1"/>
  <c r="AP15" i="8"/>
  <c r="AZ15" i="8" s="1"/>
  <c r="AP15" i="5"/>
  <c r="AZ15" i="5" s="1"/>
  <c r="AP15" i="2"/>
  <c r="AZ15" i="2" s="1"/>
  <c r="AP15" i="7"/>
  <c r="AZ15" i="7" s="1"/>
  <c r="AP15" i="6"/>
  <c r="AZ15" i="6" s="1"/>
  <c r="AV16" i="1"/>
  <c r="AJ16" i="14"/>
  <c r="AT16" i="14" s="1"/>
  <c r="AJ16" i="12"/>
  <c r="AT16" i="12" s="1"/>
  <c r="AJ16" i="9"/>
  <c r="AT16" i="9" s="1"/>
  <c r="AJ16" i="13"/>
  <c r="AT16" i="13" s="1"/>
  <c r="AJ16" i="11"/>
  <c r="AT16" i="11" s="1"/>
  <c r="AJ16" i="8"/>
  <c r="AT16" i="8" s="1"/>
  <c r="AJ16" i="10"/>
  <c r="AT16" i="10" s="1"/>
  <c r="AJ16" i="6"/>
  <c r="AT16" i="6" s="1"/>
  <c r="AJ16" i="7"/>
  <c r="AT16" i="7" s="1"/>
  <c r="AJ16" i="5"/>
  <c r="AT16" i="5" s="1"/>
  <c r="AJ16" i="2"/>
  <c r="AT16" i="2" s="1"/>
  <c r="AZ16" i="1"/>
  <c r="AN16" i="14"/>
  <c r="AX16" i="14" s="1"/>
  <c r="AN16" i="13"/>
  <c r="AX16" i="13" s="1"/>
  <c r="AN16" i="9"/>
  <c r="AX16" i="9" s="1"/>
  <c r="AN16" i="8"/>
  <c r="AX16" i="8" s="1"/>
  <c r="AN16" i="12"/>
  <c r="AX16" i="12" s="1"/>
  <c r="AN16" i="10"/>
  <c r="AX16" i="10" s="1"/>
  <c r="AN16" i="11"/>
  <c r="AX16" i="11" s="1"/>
  <c r="AN16" i="6"/>
  <c r="AX16" i="6" s="1"/>
  <c r="AN16" i="7"/>
  <c r="AX16" i="7" s="1"/>
  <c r="AN16" i="2"/>
  <c r="AX16" i="2" s="1"/>
  <c r="AN16" i="5"/>
  <c r="AX16" i="5" s="1"/>
  <c r="AT17" i="1"/>
  <c r="AH17" i="14"/>
  <c r="AR17" i="14" s="1"/>
  <c r="AH17" i="13"/>
  <c r="AR17" i="13" s="1"/>
  <c r="AH17" i="11"/>
  <c r="AR17" i="11" s="1"/>
  <c r="AH17" i="9"/>
  <c r="AR17" i="9" s="1"/>
  <c r="AH17" i="12"/>
  <c r="AR17" i="12" s="1"/>
  <c r="AH17" i="10"/>
  <c r="AR17" i="10" s="1"/>
  <c r="AH17" i="5"/>
  <c r="AR17" i="5" s="1"/>
  <c r="AH17" i="7"/>
  <c r="AR17" i="7" s="1"/>
  <c r="AR17" i="6"/>
  <c r="AH17" i="8"/>
  <c r="AR17" i="8" s="1"/>
  <c r="AH17" i="2"/>
  <c r="AR17" i="2" s="1"/>
  <c r="AX17" i="1"/>
  <c r="AL17" i="14"/>
  <c r="AV17" i="14" s="1"/>
  <c r="AL17" i="13"/>
  <c r="AV17" i="13" s="1"/>
  <c r="AL17" i="11"/>
  <c r="AV17" i="11" s="1"/>
  <c r="AL17" i="12"/>
  <c r="AV17" i="12" s="1"/>
  <c r="AL17" i="9"/>
  <c r="AV17" i="9" s="1"/>
  <c r="AL17" i="10"/>
  <c r="AV17" i="10" s="1"/>
  <c r="AL17" i="5"/>
  <c r="AV17" i="5" s="1"/>
  <c r="AL17" i="8"/>
  <c r="AV17" i="8" s="1"/>
  <c r="AL17" i="7"/>
  <c r="AV17" i="7" s="1"/>
  <c r="AL17" i="6"/>
  <c r="AV17" i="6" s="1"/>
  <c r="AL17" i="2"/>
  <c r="AV17" i="2" s="1"/>
  <c r="BB17" i="1"/>
  <c r="AP17" i="14"/>
  <c r="AZ17" i="14" s="1"/>
  <c r="AP17" i="13"/>
  <c r="AZ17" i="13" s="1"/>
  <c r="AP17" i="11"/>
  <c r="AZ17" i="11" s="1"/>
  <c r="AP17" i="9"/>
  <c r="AZ17" i="9" s="1"/>
  <c r="AP17" i="10"/>
  <c r="AZ17" i="10" s="1"/>
  <c r="AP17" i="12"/>
  <c r="AZ17" i="12" s="1"/>
  <c r="AP17" i="8"/>
  <c r="AZ17" i="8" s="1"/>
  <c r="AP17" i="5"/>
  <c r="AZ17" i="5" s="1"/>
  <c r="AP17" i="7"/>
  <c r="AZ17" i="7" s="1"/>
  <c r="AP17" i="6"/>
  <c r="AZ17" i="6" s="1"/>
  <c r="AP17" i="2"/>
  <c r="AZ17" i="2" s="1"/>
  <c r="AV22" i="1"/>
  <c r="AJ22" i="14"/>
  <c r="AT22" i="14" s="1"/>
  <c r="AJ22" i="13"/>
  <c r="AT22" i="13" s="1"/>
  <c r="AJ22" i="11"/>
  <c r="AT22" i="11" s="1"/>
  <c r="AJ22" i="12"/>
  <c r="AT22" i="12" s="1"/>
  <c r="AJ22" i="10"/>
  <c r="AT22" i="10" s="1"/>
  <c r="AJ22" i="9"/>
  <c r="AT22" i="9" s="1"/>
  <c r="AJ22" i="8"/>
  <c r="AT22" i="8" s="1"/>
  <c r="AJ22" i="7"/>
  <c r="AT22" i="7" s="1"/>
  <c r="AJ22" i="6"/>
  <c r="AT22" i="6" s="1"/>
  <c r="AJ22" i="5"/>
  <c r="AT22" i="5" s="1"/>
  <c r="AJ22" i="2"/>
  <c r="AT22" i="2" s="1"/>
  <c r="AZ22" i="1"/>
  <c r="AN22" i="14"/>
  <c r="AX22" i="14" s="1"/>
  <c r="AN22" i="13"/>
  <c r="AX22" i="13" s="1"/>
  <c r="AN22" i="12"/>
  <c r="AX22" i="12" s="1"/>
  <c r="AN22" i="11"/>
  <c r="AX22" i="11" s="1"/>
  <c r="AN22" i="8"/>
  <c r="AX22" i="8" s="1"/>
  <c r="AN22" i="7"/>
  <c r="AX22" i="7" s="1"/>
  <c r="AN22" i="10"/>
  <c r="AX22" i="10" s="1"/>
  <c r="AN22" i="9"/>
  <c r="AX22" i="9" s="1"/>
  <c r="AN22" i="6"/>
  <c r="AX22" i="6" s="1"/>
  <c r="AN22" i="5"/>
  <c r="AX22" i="5" s="1"/>
  <c r="AN22" i="2"/>
  <c r="AX22" i="2" s="1"/>
  <c r="AT23" i="1"/>
  <c r="AH23" i="13"/>
  <c r="AR23" i="13" s="1"/>
  <c r="AH23" i="14"/>
  <c r="AR23" i="14" s="1"/>
  <c r="AH23" i="11"/>
  <c r="AR23" i="11" s="1"/>
  <c r="AH23" i="12"/>
  <c r="AR23" i="12" s="1"/>
  <c r="AH23" i="10"/>
  <c r="AR23" i="10" s="1"/>
  <c r="AH23" i="9"/>
  <c r="AR23" i="9" s="1"/>
  <c r="AH23" i="8"/>
  <c r="AR23" i="8" s="1"/>
  <c r="AH23" i="7"/>
  <c r="AR23" i="7" s="1"/>
  <c r="AH23" i="5"/>
  <c r="AR23" i="5" s="1"/>
  <c r="AR23" i="6"/>
  <c r="AH23" i="2"/>
  <c r="AR23" i="2" s="1"/>
  <c r="AX23" i="1"/>
  <c r="AL23" i="14"/>
  <c r="AV23" i="14" s="1"/>
  <c r="AL23" i="13"/>
  <c r="AV23" i="13" s="1"/>
  <c r="AL23" i="11"/>
  <c r="AV23" i="11" s="1"/>
  <c r="AL23" i="10"/>
  <c r="AV23" i="10" s="1"/>
  <c r="AL23" i="9"/>
  <c r="AV23" i="9" s="1"/>
  <c r="AL23" i="8"/>
  <c r="AV23" i="8" s="1"/>
  <c r="AL23" i="7"/>
  <c r="AV23" i="7" s="1"/>
  <c r="AL23" i="12"/>
  <c r="AV23" i="12" s="1"/>
  <c r="AL23" i="6"/>
  <c r="AV23" i="6" s="1"/>
  <c r="AL23" i="5"/>
  <c r="AV23" i="5" s="1"/>
  <c r="AL23" i="2"/>
  <c r="AV23" i="2" s="1"/>
  <c r="BB23" i="1"/>
  <c r="AP23" i="14"/>
  <c r="AZ23" i="14" s="1"/>
  <c r="AP23" i="11"/>
  <c r="AZ23" i="11" s="1"/>
  <c r="AP23" i="13"/>
  <c r="AZ23" i="13" s="1"/>
  <c r="AP23" i="10"/>
  <c r="AZ23" i="10" s="1"/>
  <c r="AP23" i="9"/>
  <c r="AZ23" i="9" s="1"/>
  <c r="AP23" i="12"/>
  <c r="AZ23" i="12" s="1"/>
  <c r="AP23" i="8"/>
  <c r="AZ23" i="8" s="1"/>
  <c r="AP23" i="7"/>
  <c r="AZ23" i="7" s="1"/>
  <c r="AP23" i="2"/>
  <c r="AZ23" i="2" s="1"/>
  <c r="AP23" i="5"/>
  <c r="AZ23" i="5" s="1"/>
  <c r="AP23" i="6"/>
  <c r="AZ23" i="6" s="1"/>
  <c r="AV24" i="1"/>
  <c r="AJ24" i="14"/>
  <c r="AT24" i="14" s="1"/>
  <c r="AJ24" i="13"/>
  <c r="AT24" i="13" s="1"/>
  <c r="AJ24" i="12"/>
  <c r="AT24" i="12" s="1"/>
  <c r="AJ24" i="11"/>
  <c r="AT24" i="11" s="1"/>
  <c r="AJ24" i="10"/>
  <c r="AT24" i="10" s="1"/>
  <c r="AJ24" i="8"/>
  <c r="AT24" i="8" s="1"/>
  <c r="AJ24" i="9"/>
  <c r="AT24" i="9" s="1"/>
  <c r="AJ24" i="6"/>
  <c r="AT24" i="6" s="1"/>
  <c r="AJ24" i="7"/>
  <c r="AT24" i="7" s="1"/>
  <c r="AJ24" i="2"/>
  <c r="AT24" i="2" s="1"/>
  <c r="AJ24" i="5"/>
  <c r="AT24" i="5" s="1"/>
  <c r="AZ24" i="1"/>
  <c r="AN24" i="14"/>
  <c r="AX24" i="14" s="1"/>
  <c r="AN24" i="13"/>
  <c r="AX24" i="13" s="1"/>
  <c r="AN24" i="12"/>
  <c r="AX24" i="12" s="1"/>
  <c r="AN24" i="11"/>
  <c r="AX24" i="11" s="1"/>
  <c r="AN24" i="8"/>
  <c r="AX24" i="8" s="1"/>
  <c r="AN24" i="9"/>
  <c r="AX24" i="9" s="1"/>
  <c r="AN24" i="6"/>
  <c r="AX24" i="6" s="1"/>
  <c r="AN24" i="7"/>
  <c r="AX24" i="7" s="1"/>
  <c r="AN24" i="5"/>
  <c r="AX24" i="5" s="1"/>
  <c r="AN24" i="10"/>
  <c r="AX24" i="10" s="1"/>
  <c r="AN24" i="2"/>
  <c r="AX24" i="2" s="1"/>
  <c r="AX31" i="1"/>
  <c r="AL31" i="14"/>
  <c r="AV31" i="14" s="1"/>
  <c r="AL31" i="12"/>
  <c r="AV31" i="12" s="1"/>
  <c r="AL31" i="13"/>
  <c r="AV31" i="13" s="1"/>
  <c r="AL31" i="11"/>
  <c r="AV31" i="11" s="1"/>
  <c r="AL31" i="9"/>
  <c r="AV31" i="9" s="1"/>
  <c r="AL31" i="8"/>
  <c r="AV31" i="8" s="1"/>
  <c r="AL31" i="5"/>
  <c r="AV31" i="5" s="1"/>
  <c r="AL31" i="10"/>
  <c r="AV31" i="10" s="1"/>
  <c r="AL31" i="7"/>
  <c r="AV31" i="7" s="1"/>
  <c r="AL31" i="6"/>
  <c r="AV31" i="6" s="1"/>
  <c r="AL31" i="2"/>
  <c r="AV31" i="2" s="1"/>
  <c r="BB31" i="1"/>
  <c r="AP31" i="14"/>
  <c r="AZ31" i="14" s="1"/>
  <c r="AP31" i="13"/>
  <c r="AZ31" i="13" s="1"/>
  <c r="AP31" i="12"/>
  <c r="AZ31" i="12" s="1"/>
  <c r="AP31" i="11"/>
  <c r="AZ31" i="11" s="1"/>
  <c r="AP31" i="9"/>
  <c r="AZ31" i="9" s="1"/>
  <c r="AP31" i="8"/>
  <c r="AZ31" i="8" s="1"/>
  <c r="AP31" i="10"/>
  <c r="AZ31" i="10" s="1"/>
  <c r="AP31" i="5"/>
  <c r="AZ31" i="5" s="1"/>
  <c r="AP31" i="7"/>
  <c r="AZ31" i="7" s="1"/>
  <c r="AP31" i="6"/>
  <c r="AZ31" i="6" s="1"/>
  <c r="AP31" i="2"/>
  <c r="AZ31" i="2" s="1"/>
  <c r="AV32" i="1"/>
  <c r="AJ32" i="14"/>
  <c r="AT32" i="14" s="1"/>
  <c r="AJ32" i="13"/>
  <c r="AT32" i="13" s="1"/>
  <c r="AJ32" i="12"/>
  <c r="AT32" i="12" s="1"/>
  <c r="AJ32" i="11"/>
  <c r="AT32" i="11" s="1"/>
  <c r="AJ32" i="10"/>
  <c r="AT32" i="10" s="1"/>
  <c r="AJ32" i="8"/>
  <c r="AT32" i="8" s="1"/>
  <c r="AJ32" i="9"/>
  <c r="AT32" i="9" s="1"/>
  <c r="AJ32" i="6"/>
  <c r="AT32" i="6" s="1"/>
  <c r="AJ32" i="5"/>
  <c r="AT32" i="5" s="1"/>
  <c r="AJ32" i="7"/>
  <c r="AT32" i="7" s="1"/>
  <c r="AJ32" i="2"/>
  <c r="AT32" i="2" s="1"/>
  <c r="AZ32" i="1"/>
  <c r="AN32" i="14"/>
  <c r="AX32" i="14" s="1"/>
  <c r="AN32" i="13"/>
  <c r="AX32" i="13" s="1"/>
  <c r="AN32" i="12"/>
  <c r="AX32" i="12" s="1"/>
  <c r="AN32" i="11"/>
  <c r="AX32" i="11" s="1"/>
  <c r="AN32" i="8"/>
  <c r="AX32" i="8" s="1"/>
  <c r="AN32" i="10"/>
  <c r="AX32" i="10" s="1"/>
  <c r="AN32" i="9"/>
  <c r="AX32" i="9" s="1"/>
  <c r="AN32" i="6"/>
  <c r="AX32" i="6" s="1"/>
  <c r="AN32" i="5"/>
  <c r="AX32" i="5" s="1"/>
  <c r="AN32" i="7"/>
  <c r="AX32" i="7" s="1"/>
  <c r="AN32" i="2"/>
  <c r="AX32" i="2" s="1"/>
  <c r="AX33" i="1"/>
  <c r="AL33" i="13"/>
  <c r="AV33" i="13" s="1"/>
  <c r="AL33" i="14"/>
  <c r="AV33" i="14" s="1"/>
  <c r="AL33" i="12"/>
  <c r="AV33" i="12" s="1"/>
  <c r="AL33" i="11"/>
  <c r="AV33" i="11" s="1"/>
  <c r="AL33" i="9"/>
  <c r="AV33" i="9" s="1"/>
  <c r="AL33" i="10"/>
  <c r="AV33" i="10" s="1"/>
  <c r="AL33" i="5"/>
  <c r="AV33" i="5" s="1"/>
  <c r="AL33" i="8"/>
  <c r="AV33" i="8" s="1"/>
  <c r="AL33" i="7"/>
  <c r="AV33" i="7" s="1"/>
  <c r="AL33" i="6"/>
  <c r="AV33" i="6" s="1"/>
  <c r="AL33" i="2"/>
  <c r="AV33" i="2" s="1"/>
  <c r="BB33" i="1"/>
  <c r="AP33" i="14"/>
  <c r="AZ33" i="14" s="1"/>
  <c r="AP33" i="13"/>
  <c r="AZ33" i="13" s="1"/>
  <c r="AP33" i="12"/>
  <c r="AZ33" i="12" s="1"/>
  <c r="AP33" i="11"/>
  <c r="AZ33" i="11" s="1"/>
  <c r="AP33" i="9"/>
  <c r="AZ33" i="9" s="1"/>
  <c r="AP33" i="10"/>
  <c r="AZ33" i="10" s="1"/>
  <c r="AP33" i="8"/>
  <c r="AZ33" i="8" s="1"/>
  <c r="AP33" i="5"/>
  <c r="AZ33" i="5" s="1"/>
  <c r="AP33" i="6"/>
  <c r="AZ33" i="6" s="1"/>
  <c r="AP33" i="2"/>
  <c r="AZ33" i="2" s="1"/>
  <c r="AP33" i="7"/>
  <c r="AZ33" i="7" s="1"/>
  <c r="AV41" i="1"/>
  <c r="AJ41" i="14"/>
  <c r="AT41" i="14" s="1"/>
  <c r="AJ41" i="13"/>
  <c r="AT41" i="13" s="1"/>
  <c r="AJ41" i="12"/>
  <c r="AT41" i="12" s="1"/>
  <c r="AJ41" i="10"/>
  <c r="AT41" i="10" s="1"/>
  <c r="AJ41" i="11"/>
  <c r="AT41" i="11" s="1"/>
  <c r="AJ41" i="9"/>
  <c r="AT41" i="9" s="1"/>
  <c r="AJ41" i="8"/>
  <c r="AT41" i="8" s="1"/>
  <c r="AJ41" i="7"/>
  <c r="AT41" i="7" s="1"/>
  <c r="AJ41" i="2"/>
  <c r="AT41" i="2" s="1"/>
  <c r="AJ41" i="5"/>
  <c r="AT41" i="5" s="1"/>
  <c r="AJ41" i="6"/>
  <c r="AT41" i="6" s="1"/>
  <c r="AZ41" i="1"/>
  <c r="AN41" i="14"/>
  <c r="AX41" i="14" s="1"/>
  <c r="AN41" i="13"/>
  <c r="AX41" i="13" s="1"/>
  <c r="AN41" i="12"/>
  <c r="AX41" i="12" s="1"/>
  <c r="AN41" i="11"/>
  <c r="AX41" i="11" s="1"/>
  <c r="AN41" i="10"/>
  <c r="AX41" i="10" s="1"/>
  <c r="AN41" i="8"/>
  <c r="AX41" i="8" s="1"/>
  <c r="AN41" i="7"/>
  <c r="AX41" i="7" s="1"/>
  <c r="AN41" i="2"/>
  <c r="AX41" i="2" s="1"/>
  <c r="AN41" i="9"/>
  <c r="AX41" i="9" s="1"/>
  <c r="AN41" i="6"/>
  <c r="AX41" i="6" s="1"/>
  <c r="AN41" i="5"/>
  <c r="AX41" i="5" s="1"/>
  <c r="AT42" i="1"/>
  <c r="AH42" i="14"/>
  <c r="AR42" i="14" s="1"/>
  <c r="AH42" i="12"/>
  <c r="AR42" i="12" s="1"/>
  <c r="AH42" i="13"/>
  <c r="AR42" i="13" s="1"/>
  <c r="AH42" i="11"/>
  <c r="AR42" i="11" s="1"/>
  <c r="AH42" i="9"/>
  <c r="AR42" i="9" s="1"/>
  <c r="AH42" i="8"/>
  <c r="AR42" i="8" s="1"/>
  <c r="AH42" i="5"/>
  <c r="AR42" i="5" s="1"/>
  <c r="AR42" i="6"/>
  <c r="AH42" i="2"/>
  <c r="AR42" i="2" s="1"/>
  <c r="AH42" i="7"/>
  <c r="AR42" i="7" s="1"/>
  <c r="AH42" i="10"/>
  <c r="AR42" i="10" s="1"/>
  <c r="AX42" i="1"/>
  <c r="AL42" i="13"/>
  <c r="AV42" i="13" s="1"/>
  <c r="AL42" i="14"/>
  <c r="AV42" i="14" s="1"/>
  <c r="AL42" i="12"/>
  <c r="AV42" i="12" s="1"/>
  <c r="AL42" i="11"/>
  <c r="AV42" i="11" s="1"/>
  <c r="AL42" i="9"/>
  <c r="AV42" i="9" s="1"/>
  <c r="AL42" i="8"/>
  <c r="AV42" i="8" s="1"/>
  <c r="AL42" i="10"/>
  <c r="AV42" i="10" s="1"/>
  <c r="AL42" i="5"/>
  <c r="AV42" i="5" s="1"/>
  <c r="AL42" i="6"/>
  <c r="AV42" i="6" s="1"/>
  <c r="AL42" i="2"/>
  <c r="AV42" i="2" s="1"/>
  <c r="AL42" i="7"/>
  <c r="AV42" i="7" s="1"/>
  <c r="BB42" i="1"/>
  <c r="AP42" i="14"/>
  <c r="AZ42" i="14" s="1"/>
  <c r="AP42" i="13"/>
  <c r="AZ42" i="13" s="1"/>
  <c r="AP42" i="12"/>
  <c r="AZ42" i="12" s="1"/>
  <c r="AP42" i="11"/>
  <c r="AZ42" i="11" s="1"/>
  <c r="AP42" i="9"/>
  <c r="AZ42" i="9" s="1"/>
  <c r="AP42" i="8"/>
  <c r="AZ42" i="8" s="1"/>
  <c r="AP42" i="10"/>
  <c r="AZ42" i="10" s="1"/>
  <c r="AP42" i="5"/>
  <c r="AZ42" i="5" s="1"/>
  <c r="AP42" i="6"/>
  <c r="AZ42" i="6" s="1"/>
  <c r="AP42" i="2"/>
  <c r="AZ42" i="2" s="1"/>
  <c r="AP42" i="7"/>
  <c r="AZ42" i="7" s="1"/>
  <c r="AW43" i="1"/>
  <c r="AK43" i="14"/>
  <c r="AU43" i="14" s="1"/>
  <c r="AK43" i="13"/>
  <c r="AU43" i="13" s="1"/>
  <c r="AK43" i="11"/>
  <c r="AU43" i="11" s="1"/>
  <c r="AK43" i="10"/>
  <c r="AU43" i="10" s="1"/>
  <c r="AK43" i="12"/>
  <c r="AU43" i="12" s="1"/>
  <c r="AK43" i="9"/>
  <c r="AU43" i="9" s="1"/>
  <c r="AK43" i="8"/>
  <c r="AU43" i="8" s="1"/>
  <c r="AK43" i="6"/>
  <c r="AU43" i="6" s="1"/>
  <c r="AK43" i="5"/>
  <c r="AU43" i="5" s="1"/>
  <c r="AK43" i="7"/>
  <c r="AU43" i="7" s="1"/>
  <c r="AK43" i="2"/>
  <c r="AU43" i="2" s="1"/>
  <c r="BA43" i="1"/>
  <c r="AO43" i="14"/>
  <c r="AY43" i="14" s="1"/>
  <c r="AO43" i="12"/>
  <c r="AY43" i="12" s="1"/>
  <c r="AO43" i="13"/>
  <c r="AY43" i="13" s="1"/>
  <c r="AO43" i="10"/>
  <c r="AY43" i="10" s="1"/>
  <c r="AO43" i="11"/>
  <c r="AY43" i="11" s="1"/>
  <c r="AO43" i="9"/>
  <c r="AY43" i="9" s="1"/>
  <c r="AO43" i="8"/>
  <c r="AY43" i="8" s="1"/>
  <c r="AO43" i="6"/>
  <c r="AY43" i="6" s="1"/>
  <c r="AO43" i="5"/>
  <c r="AY43" i="5" s="1"/>
  <c r="AO43" i="7"/>
  <c r="AY43" i="7" s="1"/>
  <c r="AO43" i="2"/>
  <c r="AY43" i="2" s="1"/>
  <c r="AU55" i="1"/>
  <c r="AI55" i="14"/>
  <c r="AS55" i="14" s="1"/>
  <c r="AI55" i="13"/>
  <c r="AS55" i="13" s="1"/>
  <c r="AI55" i="12"/>
  <c r="AS55" i="12" s="1"/>
  <c r="AI55" i="11"/>
  <c r="AS55" i="11" s="1"/>
  <c r="AI55" i="9"/>
  <c r="AS55" i="9" s="1"/>
  <c r="AI55" i="10"/>
  <c r="AS55" i="10" s="1"/>
  <c r="AI55" i="8"/>
  <c r="AS55" i="8" s="1"/>
  <c r="AI55" i="7"/>
  <c r="AS55" i="7" s="1"/>
  <c r="AI55" i="2"/>
  <c r="AS55" i="2" s="1"/>
  <c r="AS55" i="6"/>
  <c r="AI55" i="5"/>
  <c r="AS55" i="5" s="1"/>
  <c r="AY55" i="1"/>
  <c r="AM55" i="14"/>
  <c r="AW55" i="14" s="1"/>
  <c r="AM55" i="13"/>
  <c r="AW55" i="13" s="1"/>
  <c r="AM55" i="11"/>
  <c r="AW55" i="11" s="1"/>
  <c r="AM55" i="10"/>
  <c r="AW55" i="10" s="1"/>
  <c r="AM55" i="9"/>
  <c r="AW55" i="9" s="1"/>
  <c r="AM55" i="12"/>
  <c r="AW55" i="12" s="1"/>
  <c r="AM55" i="8"/>
  <c r="AW55" i="8" s="1"/>
  <c r="AM55" i="7"/>
  <c r="AW55" i="7" s="1"/>
  <c r="AM55" i="2"/>
  <c r="AW55" i="2" s="1"/>
  <c r="AM55" i="6"/>
  <c r="AW55" i="6" s="1"/>
  <c r="AM55" i="5"/>
  <c r="AW55" i="5" s="1"/>
  <c r="BC55" i="1"/>
  <c r="AQ55" i="14"/>
  <c r="BA55" i="14" s="1"/>
  <c r="AQ55" i="13"/>
  <c r="BA55" i="13" s="1"/>
  <c r="AQ55" i="11"/>
  <c r="BA55" i="11" s="1"/>
  <c r="AQ55" i="12"/>
  <c r="BA55" i="12" s="1"/>
  <c r="AQ55" i="9"/>
  <c r="BA55" i="9" s="1"/>
  <c r="AQ55" i="10"/>
  <c r="BA55" i="10" s="1"/>
  <c r="AQ55" i="8"/>
  <c r="BA55" i="8" s="1"/>
  <c r="AQ55" i="7"/>
  <c r="BA55" i="7" s="1"/>
  <c r="AQ55" i="2"/>
  <c r="BA55" i="2" s="1"/>
  <c r="AQ55" i="5"/>
  <c r="BA55" i="5" s="1"/>
  <c r="AQ55" i="6"/>
  <c r="BA55" i="6" s="1"/>
  <c r="AW56" i="1"/>
  <c r="AK56" i="14"/>
  <c r="AU56" i="14" s="1"/>
  <c r="AK56" i="13"/>
  <c r="AU56" i="13" s="1"/>
  <c r="AK56" i="12"/>
  <c r="AU56" i="12" s="1"/>
  <c r="AK56" i="11"/>
  <c r="AU56" i="11" s="1"/>
  <c r="AK56" i="10"/>
  <c r="AU56" i="10" s="1"/>
  <c r="AK56" i="9"/>
  <c r="AU56" i="9" s="1"/>
  <c r="AK56" i="7"/>
  <c r="AU56" i="7" s="1"/>
  <c r="AK56" i="8"/>
  <c r="AU56" i="8" s="1"/>
  <c r="AK56" i="6"/>
  <c r="AU56" i="6" s="1"/>
  <c r="AK56" i="2"/>
  <c r="AU56" i="2" s="1"/>
  <c r="AK56" i="5"/>
  <c r="AU56" i="5" s="1"/>
  <c r="BA56" i="1"/>
  <c r="AO56" i="14"/>
  <c r="AY56" i="14" s="1"/>
  <c r="AO56" i="13"/>
  <c r="AY56" i="13" s="1"/>
  <c r="AO56" i="12"/>
  <c r="AY56" i="12" s="1"/>
  <c r="AO56" i="11"/>
  <c r="AY56" i="11" s="1"/>
  <c r="AO56" i="7"/>
  <c r="AY56" i="7" s="1"/>
  <c r="AO56" i="10"/>
  <c r="AY56" i="10" s="1"/>
  <c r="AO56" i="9"/>
  <c r="AY56" i="9" s="1"/>
  <c r="AO56" i="6"/>
  <c r="AY56" i="6" s="1"/>
  <c r="AO56" i="2"/>
  <c r="AY56" i="2" s="1"/>
  <c r="AO56" i="5"/>
  <c r="AY56" i="5" s="1"/>
  <c r="AO56" i="8"/>
  <c r="AY56" i="8" s="1"/>
  <c r="AU57" i="1"/>
  <c r="AI57" i="14"/>
  <c r="AS57" i="14" s="1"/>
  <c r="AI57" i="13"/>
  <c r="AS57" i="13" s="1"/>
  <c r="AI57" i="12"/>
  <c r="AS57" i="12" s="1"/>
  <c r="AI57" i="11"/>
  <c r="AS57" i="11" s="1"/>
  <c r="AI57" i="10"/>
  <c r="AS57" i="10" s="1"/>
  <c r="AI57" i="9"/>
  <c r="AS57" i="9" s="1"/>
  <c r="AI57" i="8"/>
  <c r="AS57" i="8" s="1"/>
  <c r="AI57" i="7"/>
  <c r="AS57" i="7" s="1"/>
  <c r="AS57" i="6"/>
  <c r="AI57" i="2"/>
  <c r="AS57" i="2" s="1"/>
  <c r="AI57" i="5"/>
  <c r="AS57" i="5" s="1"/>
  <c r="AY57" i="1"/>
  <c r="AM57" i="14"/>
  <c r="AW57" i="14" s="1"/>
  <c r="AM57" i="13"/>
  <c r="AW57" i="13" s="1"/>
  <c r="AM57" i="11"/>
  <c r="AW57" i="11" s="1"/>
  <c r="AM57" i="10"/>
  <c r="AW57" i="10" s="1"/>
  <c r="AM57" i="9"/>
  <c r="AW57" i="9" s="1"/>
  <c r="AM57" i="12"/>
  <c r="AW57" i="12" s="1"/>
  <c r="AM57" i="8"/>
  <c r="AW57" i="8" s="1"/>
  <c r="AM57" i="7"/>
  <c r="AW57" i="7" s="1"/>
  <c r="AM57" i="6"/>
  <c r="AW57" i="6" s="1"/>
  <c r="AM57" i="2"/>
  <c r="AW57" i="2" s="1"/>
  <c r="AM57" i="5"/>
  <c r="AW57" i="5" s="1"/>
  <c r="BC57" i="1"/>
  <c r="AQ57" i="14"/>
  <c r="BA57" i="14" s="1"/>
  <c r="AQ57" i="13"/>
  <c r="BA57" i="13" s="1"/>
  <c r="AQ57" i="11"/>
  <c r="BA57" i="11" s="1"/>
  <c r="AQ57" i="10"/>
  <c r="BA57" i="10" s="1"/>
  <c r="AQ57" i="12"/>
  <c r="BA57" i="12" s="1"/>
  <c r="AQ57" i="9"/>
  <c r="BA57" i="9" s="1"/>
  <c r="AQ57" i="8"/>
  <c r="BA57" i="8" s="1"/>
  <c r="AQ57" i="7"/>
  <c r="BA57" i="7" s="1"/>
  <c r="AQ57" i="6"/>
  <c r="BA57" i="6" s="1"/>
  <c r="AQ57" i="2"/>
  <c r="BA57" i="2" s="1"/>
  <c r="AQ57" i="5"/>
  <c r="BA57" i="5" s="1"/>
  <c r="AW69" i="1"/>
  <c r="AK69" i="14"/>
  <c r="AU69" i="14" s="1"/>
  <c r="AK69" i="13"/>
  <c r="AU69" i="13" s="1"/>
  <c r="AK69" i="12"/>
  <c r="AU69" i="12" s="1"/>
  <c r="AK69" i="11"/>
  <c r="AU69" i="11" s="1"/>
  <c r="AK69" i="10"/>
  <c r="AU69" i="10" s="1"/>
  <c r="AK69" i="9"/>
  <c r="AU69" i="9" s="1"/>
  <c r="AK69" i="8"/>
  <c r="AU69" i="8" s="1"/>
  <c r="AK69" i="7"/>
  <c r="AU69" i="7" s="1"/>
  <c r="AK69" i="5"/>
  <c r="AU69" i="5" s="1"/>
  <c r="AK69" i="6"/>
  <c r="AU69" i="6" s="1"/>
  <c r="AK69" i="2"/>
  <c r="AU69" i="2" s="1"/>
  <c r="BA69" i="1"/>
  <c r="AO69" i="14"/>
  <c r="AY69" i="14" s="1"/>
  <c r="AO69" i="13"/>
  <c r="AY69" i="13" s="1"/>
  <c r="AO69" i="12"/>
  <c r="AY69" i="12" s="1"/>
  <c r="AO69" i="11"/>
  <c r="AY69" i="11" s="1"/>
  <c r="AO69" i="10"/>
  <c r="AY69" i="10" s="1"/>
  <c r="AO69" i="9"/>
  <c r="AY69" i="9" s="1"/>
  <c r="AO69" i="8"/>
  <c r="AY69" i="8" s="1"/>
  <c r="AO69" i="7"/>
  <c r="AY69" i="7" s="1"/>
  <c r="AO69" i="5"/>
  <c r="AY69" i="5" s="1"/>
  <c r="AO69" i="6"/>
  <c r="AY69" i="6" s="1"/>
  <c r="AO69" i="2"/>
  <c r="AY69" i="2" s="1"/>
  <c r="AU70" i="1"/>
  <c r="AI70" i="14"/>
  <c r="AS70" i="14" s="1"/>
  <c r="AI70" i="13"/>
  <c r="AS70" i="13" s="1"/>
  <c r="AI70" i="12"/>
  <c r="AS70" i="12" s="1"/>
  <c r="AI70" i="10"/>
  <c r="AS70" i="10" s="1"/>
  <c r="AI70" i="9"/>
  <c r="AS70" i="9" s="1"/>
  <c r="AI70" i="11"/>
  <c r="AS70" i="11" s="1"/>
  <c r="AI70" i="8"/>
  <c r="AS70" i="8" s="1"/>
  <c r="AI70" i="7"/>
  <c r="AS70" i="7" s="1"/>
  <c r="AI70" i="5"/>
  <c r="AS70" i="5" s="1"/>
  <c r="AS70" i="6"/>
  <c r="AI70" i="2"/>
  <c r="AS70" i="2" s="1"/>
  <c r="AY70" i="1"/>
  <c r="AM70" i="14"/>
  <c r="AW70" i="14" s="1"/>
  <c r="AM70" i="13"/>
  <c r="AW70" i="13" s="1"/>
  <c r="AM70" i="12"/>
  <c r="AW70" i="12" s="1"/>
  <c r="AM70" i="10"/>
  <c r="AW70" i="10" s="1"/>
  <c r="AM70" i="9"/>
  <c r="AW70" i="9" s="1"/>
  <c r="AM70" i="11"/>
  <c r="AW70" i="11" s="1"/>
  <c r="AM70" i="8"/>
  <c r="AW70" i="8" s="1"/>
  <c r="AM70" i="7"/>
  <c r="AW70" i="7" s="1"/>
  <c r="AM70" i="5"/>
  <c r="AW70" i="5" s="1"/>
  <c r="AM70" i="6"/>
  <c r="AW70" i="6" s="1"/>
  <c r="AM70" i="2"/>
  <c r="AW70" i="2" s="1"/>
  <c r="BC70" i="1"/>
  <c r="AQ70" i="14"/>
  <c r="BA70" i="14" s="1"/>
  <c r="AQ70" i="13"/>
  <c r="BA70" i="13" s="1"/>
  <c r="AQ70" i="12"/>
  <c r="BA70" i="12" s="1"/>
  <c r="AQ70" i="10"/>
  <c r="BA70" i="10" s="1"/>
  <c r="AQ70" i="9"/>
  <c r="BA70" i="9" s="1"/>
  <c r="AQ70" i="11"/>
  <c r="BA70" i="11" s="1"/>
  <c r="AQ70" i="8"/>
  <c r="BA70" i="8" s="1"/>
  <c r="AQ70" i="7"/>
  <c r="BA70" i="7" s="1"/>
  <c r="AQ70" i="5"/>
  <c r="BA70" i="5" s="1"/>
  <c r="AQ70" i="6"/>
  <c r="BA70" i="6" s="1"/>
  <c r="AQ70" i="2"/>
  <c r="BA70" i="2" s="1"/>
  <c r="AW71" i="1"/>
  <c r="AK71" i="14"/>
  <c r="AU71" i="14" s="1"/>
  <c r="AK71" i="13"/>
  <c r="AU71" i="13" s="1"/>
  <c r="AK71" i="12"/>
  <c r="AU71" i="12" s="1"/>
  <c r="AK71" i="11"/>
  <c r="AU71" i="11" s="1"/>
  <c r="AK71" i="10"/>
  <c r="AU71" i="10" s="1"/>
  <c r="AK71" i="9"/>
  <c r="AU71" i="9" s="1"/>
  <c r="AK71" i="8"/>
  <c r="AU71" i="8" s="1"/>
  <c r="AK71" i="7"/>
  <c r="AU71" i="7" s="1"/>
  <c r="AK71" i="5"/>
  <c r="AU71" i="5" s="1"/>
  <c r="AK71" i="6"/>
  <c r="AU71" i="6" s="1"/>
  <c r="AK71" i="2"/>
  <c r="AU71" i="2" s="1"/>
  <c r="BA71" i="1"/>
  <c r="AO71" i="14"/>
  <c r="AY71" i="14" s="1"/>
  <c r="AO71" i="13"/>
  <c r="AY71" i="13" s="1"/>
  <c r="AO71" i="12"/>
  <c r="AY71" i="12" s="1"/>
  <c r="AO71" i="11"/>
  <c r="AY71" i="11" s="1"/>
  <c r="AO71" i="10"/>
  <c r="AY71" i="10" s="1"/>
  <c r="AO71" i="9"/>
  <c r="AY71" i="9" s="1"/>
  <c r="AO71" i="8"/>
  <c r="AY71" i="8" s="1"/>
  <c r="AO71" i="7"/>
  <c r="AY71" i="7" s="1"/>
  <c r="AO71" i="5"/>
  <c r="AY71" i="5" s="1"/>
  <c r="AO71" i="6"/>
  <c r="AY71" i="6" s="1"/>
  <c r="AO71" i="2"/>
  <c r="AY71" i="2" s="1"/>
  <c r="AU81" i="1"/>
  <c r="AI81" i="14"/>
  <c r="AS81" i="14" s="1"/>
  <c r="AI81" i="13"/>
  <c r="AS81" i="13" s="1"/>
  <c r="AI81" i="12"/>
  <c r="AS81" i="12" s="1"/>
  <c r="AI81" i="11"/>
  <c r="AS81" i="11" s="1"/>
  <c r="AI81" i="10"/>
  <c r="AS81" i="10" s="1"/>
  <c r="AI81" i="9"/>
  <c r="AS81" i="9" s="1"/>
  <c r="AI81" i="8"/>
  <c r="AS81" i="8" s="1"/>
  <c r="AS81" i="6"/>
  <c r="AI81" i="5"/>
  <c r="AS81" i="5" s="1"/>
  <c r="AI81" i="2"/>
  <c r="AS81" i="2" s="1"/>
  <c r="AY81" i="1"/>
  <c r="AM81" i="14"/>
  <c r="AW81" i="14" s="1"/>
  <c r="AM81" i="13"/>
  <c r="AW81" i="13" s="1"/>
  <c r="AM81" i="12"/>
  <c r="AW81" i="12" s="1"/>
  <c r="AM81" i="11"/>
  <c r="AW81" i="11" s="1"/>
  <c r="AM81" i="10"/>
  <c r="AW81" i="10" s="1"/>
  <c r="AM81" i="9"/>
  <c r="AW81" i="9" s="1"/>
  <c r="AM81" i="8"/>
  <c r="AW81" i="8" s="1"/>
  <c r="AW81" i="7"/>
  <c r="AM81" i="6"/>
  <c r="AW81" i="6" s="1"/>
  <c r="AM81" i="5"/>
  <c r="AW81" i="5" s="1"/>
  <c r="AM81" i="2"/>
  <c r="AW81" i="2" s="1"/>
  <c r="BC81" i="1"/>
  <c r="AQ81" i="14"/>
  <c r="BA81" i="14" s="1"/>
  <c r="AQ81" i="13"/>
  <c r="BA81" i="13" s="1"/>
  <c r="AQ81" i="12"/>
  <c r="BA81" i="12" s="1"/>
  <c r="AQ81" i="11"/>
  <c r="BA81" i="11" s="1"/>
  <c r="AQ81" i="10"/>
  <c r="BA81" i="10" s="1"/>
  <c r="AQ81" i="9"/>
  <c r="BA81" i="9" s="1"/>
  <c r="AQ81" i="8"/>
  <c r="BA81" i="8" s="1"/>
  <c r="BA81" i="7"/>
  <c r="AQ81" i="6"/>
  <c r="BA81" i="6" s="1"/>
  <c r="AQ81" i="5"/>
  <c r="BA81" i="5" s="1"/>
  <c r="AQ81" i="2"/>
  <c r="BA81" i="2" s="1"/>
  <c r="AW82" i="1"/>
  <c r="AK82" i="14"/>
  <c r="AU82" i="14" s="1"/>
  <c r="AK82" i="13"/>
  <c r="AU82" i="13" s="1"/>
  <c r="AK82" i="12"/>
  <c r="AU82" i="12" s="1"/>
  <c r="AK82" i="11"/>
  <c r="AU82" i="11" s="1"/>
  <c r="AK82" i="10"/>
  <c r="AU82" i="10" s="1"/>
  <c r="AU82" i="7"/>
  <c r="AK82" i="9"/>
  <c r="AU82" i="9" s="1"/>
  <c r="AK82" i="8"/>
  <c r="AU82" i="8" s="1"/>
  <c r="AK82" i="6"/>
  <c r="AU82" i="6" s="1"/>
  <c r="AK82" i="5"/>
  <c r="AU82" i="5" s="1"/>
  <c r="AK82" i="2"/>
  <c r="AU82" i="2" s="1"/>
  <c r="BA82" i="1"/>
  <c r="AO82" i="14"/>
  <c r="AY82" i="14" s="1"/>
  <c r="AO82" i="13"/>
  <c r="AY82" i="13" s="1"/>
  <c r="AO82" i="12"/>
  <c r="AY82" i="12" s="1"/>
  <c r="AO82" i="11"/>
  <c r="AY82" i="11" s="1"/>
  <c r="AO82" i="10"/>
  <c r="AY82" i="10" s="1"/>
  <c r="AO82" i="9"/>
  <c r="AY82" i="9" s="1"/>
  <c r="AY82" i="7"/>
  <c r="AO82" i="8"/>
  <c r="AY82" i="8" s="1"/>
  <c r="AO82" i="6"/>
  <c r="AY82" i="6" s="1"/>
  <c r="AO82" i="5"/>
  <c r="AY82" i="5" s="1"/>
  <c r="AO82" i="2"/>
  <c r="AY82" i="2" s="1"/>
  <c r="AV83" i="1"/>
  <c r="AJ83" i="14"/>
  <c r="AT83" i="14" s="1"/>
  <c r="AJ83" i="13"/>
  <c r="AT83" i="13" s="1"/>
  <c r="AJ83" i="12"/>
  <c r="AT83" i="12" s="1"/>
  <c r="AJ83" i="11"/>
  <c r="AT83" i="11" s="1"/>
  <c r="AJ83" i="10"/>
  <c r="AT83" i="10" s="1"/>
  <c r="AJ83" i="9"/>
  <c r="AT83" i="9" s="1"/>
  <c r="AJ83" i="8"/>
  <c r="AT83" i="8" s="1"/>
  <c r="AJ83" i="5"/>
  <c r="AT83" i="5" s="1"/>
  <c r="AJ83" i="2"/>
  <c r="AT83" i="2" s="1"/>
  <c r="AJ83" i="6"/>
  <c r="AT83" i="6" s="1"/>
  <c r="AZ83" i="1"/>
  <c r="AN83" i="14"/>
  <c r="AX83" i="14" s="1"/>
  <c r="AN83" i="13"/>
  <c r="AX83" i="13" s="1"/>
  <c r="AN83" i="11"/>
  <c r="AX83" i="11" s="1"/>
  <c r="AN83" i="12"/>
  <c r="AX83" i="12" s="1"/>
  <c r="AN83" i="9"/>
  <c r="AX83" i="9" s="1"/>
  <c r="AN83" i="8"/>
  <c r="AX83" i="8" s="1"/>
  <c r="AX83" i="7"/>
  <c r="AN83" i="5"/>
  <c r="AX83" i="5" s="1"/>
  <c r="AN83" i="10"/>
  <c r="AX83" i="10" s="1"/>
  <c r="AN83" i="2"/>
  <c r="AX83" i="2" s="1"/>
  <c r="AN83" i="6"/>
  <c r="AX83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Serge Ganivet</author>
  </authors>
  <commentList>
    <comment ref="AJ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Serge Ganivet:</t>
        </r>
        <r>
          <rPr>
            <sz val="9"/>
            <color indexed="81"/>
            <rFont val="Tahoma"/>
            <family val="2"/>
          </rPr>
          <t xml:space="preserve">
Données générées automatiquement - Ne pas changer / modifier</t>
        </r>
      </text>
    </comment>
    <comment ref="AT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Serge Ganivet:</t>
        </r>
        <r>
          <rPr>
            <sz val="9"/>
            <color indexed="81"/>
            <rFont val="Tahoma"/>
            <family val="2"/>
          </rPr>
          <t xml:space="preserve">
Données générées automatiquement - Ne pas changer / modifier</t>
        </r>
      </text>
    </comment>
    <comment ref="A4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Serge Ganivet:</t>
        </r>
        <r>
          <rPr>
            <sz val="9"/>
            <color indexed="81"/>
            <rFont val="Tahoma"/>
            <family val="2"/>
          </rPr>
          <t xml:space="preserve">
Completer la liste des districts pour chacune des regions en inserant une ligne au niveau de la ligne avec ...</t>
        </r>
      </text>
    </comment>
    <comment ref="B4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Serge Ganivet:</t>
        </r>
        <r>
          <rPr>
            <sz val="9"/>
            <color indexed="81"/>
            <rFont val="Tahoma"/>
            <family val="2"/>
          </rPr>
          <t xml:space="preserve">
Verifier / completer la Pop cible &lt;1 an</t>
        </r>
      </text>
    </comment>
    <comment ref="C4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Serge Ganivet:</t>
        </r>
        <r>
          <rPr>
            <sz val="9"/>
            <color indexed="81"/>
            <rFont val="Tahoma"/>
            <family val="2"/>
          </rPr>
          <t xml:space="preserve">
Verifier / completer la Pop cible &lt;1 an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Serge Ganivet</author>
  </authors>
  <commentList>
    <comment ref="AH3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Serge Ganivet:</t>
        </r>
        <r>
          <rPr>
            <sz val="9"/>
            <color indexed="81"/>
            <rFont val="Tahoma"/>
            <family val="2"/>
          </rPr>
          <t xml:space="preserve">
Données générées automatiquement - Ne pas changer / modifier</t>
        </r>
      </text>
    </comment>
    <comment ref="AR3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Serge Ganivet:</t>
        </r>
        <r>
          <rPr>
            <sz val="9"/>
            <color indexed="81"/>
            <rFont val="Tahoma"/>
            <family val="2"/>
          </rPr>
          <t xml:space="preserve">
Données générées automatiquement - Ne pas changer / modifier</t>
        </r>
      </text>
    </comment>
    <comment ref="A4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>Serge Ganivet:</t>
        </r>
        <r>
          <rPr>
            <sz val="9"/>
            <color indexed="81"/>
            <rFont val="Tahoma"/>
            <family val="2"/>
          </rPr>
          <t xml:space="preserve">
Completer la liste des districts pour chacune des regions en inserant une ligne au niveau de la ligne avec ...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Serge Ganivet</author>
  </authors>
  <commentList>
    <comment ref="AH3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Serge Ganivet:</t>
        </r>
        <r>
          <rPr>
            <sz val="9"/>
            <color indexed="81"/>
            <rFont val="Tahoma"/>
            <family val="2"/>
          </rPr>
          <t xml:space="preserve">
Données générées automatiquement - Ne pas changer / modifier</t>
        </r>
      </text>
    </comment>
    <comment ref="AR3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Serge Ganivet:</t>
        </r>
        <r>
          <rPr>
            <sz val="9"/>
            <color indexed="81"/>
            <rFont val="Tahoma"/>
            <family val="2"/>
          </rPr>
          <t xml:space="preserve">
Données générées automatiquement - Ne pas changer / modifier</t>
        </r>
      </text>
    </comment>
    <comment ref="A4" authorId="0" shapeId="0" xr:uid="{00000000-0006-0000-0A00-000004000000}">
      <text>
        <r>
          <rPr>
            <b/>
            <sz val="9"/>
            <color indexed="81"/>
            <rFont val="Tahoma"/>
            <family val="2"/>
          </rPr>
          <t>Serge Ganivet:</t>
        </r>
        <r>
          <rPr>
            <sz val="9"/>
            <color indexed="81"/>
            <rFont val="Tahoma"/>
            <family val="2"/>
          </rPr>
          <t xml:space="preserve">
Completer la liste des districts pour chacune des regions en inserant une ligne au niveau de la ligne avec ...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Serge Ganivet</author>
  </authors>
  <commentList>
    <comment ref="AH3" authorId="0" shapeId="0" xr:uid="{00000000-0006-0000-0B00-000002000000}">
      <text>
        <r>
          <rPr>
            <b/>
            <sz val="9"/>
            <color indexed="81"/>
            <rFont val="Tahoma"/>
            <family val="2"/>
          </rPr>
          <t>Serge Ganivet:</t>
        </r>
        <r>
          <rPr>
            <sz val="9"/>
            <color indexed="81"/>
            <rFont val="Tahoma"/>
            <family val="2"/>
          </rPr>
          <t xml:space="preserve">
Données générées automatiquement - Ne pas changer / modifier</t>
        </r>
      </text>
    </comment>
    <comment ref="AR3" authorId="0" shapeId="0" xr:uid="{00000000-0006-0000-0B00-000003000000}">
      <text>
        <r>
          <rPr>
            <b/>
            <sz val="9"/>
            <color indexed="81"/>
            <rFont val="Tahoma"/>
            <family val="2"/>
          </rPr>
          <t>Serge Ganivet:</t>
        </r>
        <r>
          <rPr>
            <sz val="9"/>
            <color indexed="81"/>
            <rFont val="Tahoma"/>
            <family val="2"/>
          </rPr>
          <t xml:space="preserve">
Données générées automatiquement - Ne pas changer / modifier</t>
        </r>
      </text>
    </comment>
    <comment ref="A4" authorId="0" shapeId="0" xr:uid="{00000000-0006-0000-0B00-000004000000}">
      <text>
        <r>
          <rPr>
            <b/>
            <sz val="9"/>
            <color indexed="81"/>
            <rFont val="Tahoma"/>
            <family val="2"/>
          </rPr>
          <t>Serge Ganivet:</t>
        </r>
        <r>
          <rPr>
            <sz val="9"/>
            <color indexed="81"/>
            <rFont val="Tahoma"/>
            <family val="2"/>
          </rPr>
          <t xml:space="preserve">
Completer la liste des districts pour chacune des regions en inserant une ligne au niveau de la ligne avec ...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Serge Ganivet</author>
  </authors>
  <commentList>
    <comment ref="X3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Serge Ganivet:</t>
        </r>
        <r>
          <rPr>
            <sz val="9"/>
            <color indexed="81"/>
            <rFont val="Tahoma"/>
            <family val="2"/>
          </rPr>
          <t xml:space="preserve">
Données générées automatiquement - Ne pas changer / modifier</t>
        </r>
      </text>
    </comment>
    <comment ref="A4" authorId="0" shapeId="0" xr:uid="{00000000-0006-0000-0C00-000002000000}">
      <text>
        <r>
          <rPr>
            <b/>
            <sz val="9"/>
            <color indexed="81"/>
            <rFont val="Tahoma"/>
            <family val="2"/>
          </rPr>
          <t>Serge Ganivet:</t>
        </r>
        <r>
          <rPr>
            <sz val="9"/>
            <color indexed="81"/>
            <rFont val="Tahoma"/>
            <family val="2"/>
          </rPr>
          <t xml:space="preserve">
Completer la liste des districts pour chacune des regions en inserant une ligne au niveau de la ligne avec ...</t>
        </r>
      </text>
    </comment>
    <comment ref="B4" authorId="0" shapeId="0" xr:uid="{00000000-0006-0000-0C00-000003000000}">
      <text>
        <r>
          <rPr>
            <b/>
            <sz val="9"/>
            <color indexed="81"/>
            <rFont val="Tahoma"/>
            <family val="2"/>
          </rPr>
          <t>Serge Ganivet:</t>
        </r>
        <r>
          <rPr>
            <sz val="9"/>
            <color indexed="81"/>
            <rFont val="Tahoma"/>
            <family val="2"/>
          </rPr>
          <t xml:space="preserve">
Verifier / completer la Pop cible &lt;1 an</t>
        </r>
      </text>
    </comment>
    <comment ref="C4" authorId="0" shapeId="0" xr:uid="{00000000-0006-0000-0C00-000004000000}">
      <text>
        <r>
          <rPr>
            <b/>
            <sz val="9"/>
            <color indexed="81"/>
            <rFont val="Tahoma"/>
            <family val="2"/>
          </rPr>
          <t>Serge Ganivet:</t>
        </r>
        <r>
          <rPr>
            <sz val="9"/>
            <color indexed="81"/>
            <rFont val="Tahoma"/>
            <family val="2"/>
          </rPr>
          <t xml:space="preserve">
Verifier / completer la Pop cible &lt;1 an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Serge Ganivet</author>
  </authors>
  <commentList>
    <comment ref="AH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Serge Ganivet:</t>
        </r>
        <r>
          <rPr>
            <sz val="9"/>
            <color indexed="81"/>
            <rFont val="Tahoma"/>
            <family val="2"/>
          </rPr>
          <t xml:space="preserve">
Données générées automatiquement - Ne pas changer / modifier</t>
        </r>
      </text>
    </comment>
    <comment ref="AR3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Serge Ganivet:</t>
        </r>
        <r>
          <rPr>
            <sz val="9"/>
            <color indexed="81"/>
            <rFont val="Tahoma"/>
            <family val="2"/>
          </rPr>
          <t xml:space="preserve">
Données générées automatiquement - Ne pas changer / modifier</t>
        </r>
      </text>
    </comment>
    <comment ref="A4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Serge Ganivet:</t>
        </r>
        <r>
          <rPr>
            <sz val="9"/>
            <color indexed="81"/>
            <rFont val="Tahoma"/>
            <family val="2"/>
          </rPr>
          <t xml:space="preserve">
Completer la liste des districts pour chacune des regions en inserant une ligne au niveau de la ligne avec ...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Serge Ganivet</author>
    <author>tc={7BF9DB0D-14B0-4A21-9453-52D99DBDBC14}</author>
  </authors>
  <commentList>
    <comment ref="AH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Serge Ganivet:</t>
        </r>
        <r>
          <rPr>
            <sz val="9"/>
            <color indexed="81"/>
            <rFont val="Tahoma"/>
            <family val="2"/>
          </rPr>
          <t xml:space="preserve">
Données générées automatiquement - Ne pas changer / modifier</t>
        </r>
      </text>
    </comment>
    <comment ref="AR3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Serge Ganivet:</t>
        </r>
        <r>
          <rPr>
            <sz val="9"/>
            <color indexed="81"/>
            <rFont val="Tahoma"/>
            <family val="2"/>
          </rPr>
          <t xml:space="preserve">
Données générées automatiquement - Ne pas changer / modifier</t>
        </r>
      </text>
    </comment>
    <comment ref="A4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Serge Ganivet:</t>
        </r>
        <r>
          <rPr>
            <sz val="9"/>
            <color indexed="81"/>
            <rFont val="Tahoma"/>
            <family val="2"/>
          </rPr>
          <t xml:space="preserve">
Completer la liste des districts pour chacune des regions en inserant une ligne au niveau de la ligne avec ...</t>
        </r>
      </text>
    </comment>
    <comment ref="W10" authorId="1" shapeId="0" xr:uid="{00000000-0006-0000-02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Mini campagne dans l'aire de santé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Serge Ganivet</author>
  </authors>
  <commentList>
    <comment ref="AH3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Serge Ganivet:</t>
        </r>
        <r>
          <rPr>
            <sz val="9"/>
            <color indexed="81"/>
            <rFont val="Tahoma"/>
            <family val="2"/>
          </rPr>
          <t xml:space="preserve">
Données générées automatiquement - Ne pas changer / modifier</t>
        </r>
      </text>
    </comment>
    <comment ref="AR3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Serge Ganivet:</t>
        </r>
        <r>
          <rPr>
            <sz val="9"/>
            <color indexed="81"/>
            <rFont val="Tahoma"/>
            <family val="2"/>
          </rPr>
          <t xml:space="preserve">
Données générées automatiquement - Ne pas changer / modifier</t>
        </r>
      </text>
    </comment>
    <comment ref="A4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Serge Ganivet:</t>
        </r>
        <r>
          <rPr>
            <sz val="9"/>
            <color indexed="81"/>
            <rFont val="Tahoma"/>
            <family val="2"/>
          </rPr>
          <t xml:space="preserve">
Completer la liste des districts pour chacune des regions en inserant une ligne au niveau de la ligne avec ...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Serge Ganivet</author>
  </authors>
  <commentList>
    <comment ref="AH3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Serge Ganivet:</t>
        </r>
        <r>
          <rPr>
            <sz val="9"/>
            <color indexed="81"/>
            <rFont val="Tahoma"/>
            <family val="2"/>
          </rPr>
          <t xml:space="preserve">
Données générées automatiquement - Ne pas changer / modifier</t>
        </r>
      </text>
    </comment>
    <comment ref="AR3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Serge Ganivet:</t>
        </r>
        <r>
          <rPr>
            <sz val="9"/>
            <color indexed="81"/>
            <rFont val="Tahoma"/>
            <family val="2"/>
          </rPr>
          <t xml:space="preserve">
Données générées automatiquement - Ne pas changer / modifier</t>
        </r>
      </text>
    </comment>
    <comment ref="A4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Serge Ganivet:</t>
        </r>
        <r>
          <rPr>
            <sz val="9"/>
            <color indexed="81"/>
            <rFont val="Tahoma"/>
            <family val="2"/>
          </rPr>
          <t xml:space="preserve">
Completer la liste des districts pour chacune des regions en inserant une ligne au niveau de la ligne avec ...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Serge Ganivet</author>
  </authors>
  <commentList>
    <comment ref="AH3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Serge Ganivet:</t>
        </r>
        <r>
          <rPr>
            <sz val="9"/>
            <color indexed="81"/>
            <rFont val="Tahoma"/>
            <family val="2"/>
          </rPr>
          <t xml:space="preserve">
Données générées automatiquement - Ne pas changer / modifier</t>
        </r>
      </text>
    </comment>
    <comment ref="AR3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Serge Ganivet:</t>
        </r>
        <r>
          <rPr>
            <sz val="9"/>
            <color indexed="81"/>
            <rFont val="Tahoma"/>
            <family val="2"/>
          </rPr>
          <t xml:space="preserve">
Données générées automatiquement - Ne pas changer / modifier</t>
        </r>
      </text>
    </comment>
    <comment ref="A4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Serge Ganivet:</t>
        </r>
        <r>
          <rPr>
            <sz val="9"/>
            <color indexed="81"/>
            <rFont val="Tahoma"/>
            <family val="2"/>
          </rPr>
          <t xml:space="preserve">
Completer la liste des districts pour chacune des regions en inserant une ligne au niveau de la ligne avec ...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Serge Ganivet</author>
  </authors>
  <commentList>
    <comment ref="AH3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Serge Ganivet:</t>
        </r>
        <r>
          <rPr>
            <sz val="9"/>
            <color indexed="81"/>
            <rFont val="Tahoma"/>
            <family val="2"/>
          </rPr>
          <t xml:space="preserve">
Données générées automatiquement - Ne pas changer / modifier</t>
        </r>
      </text>
    </comment>
    <comment ref="AR3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Serge Ganivet:</t>
        </r>
        <r>
          <rPr>
            <sz val="9"/>
            <color indexed="81"/>
            <rFont val="Tahoma"/>
            <family val="2"/>
          </rPr>
          <t xml:space="preserve">
Données générées automatiquement - Ne pas changer / modifier</t>
        </r>
      </text>
    </comment>
    <comment ref="A4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Serge Ganivet:</t>
        </r>
        <r>
          <rPr>
            <sz val="9"/>
            <color indexed="81"/>
            <rFont val="Tahoma"/>
            <family val="2"/>
          </rPr>
          <t xml:space="preserve">
Completer la liste des districts pour chacune des regions en inserant une ligne au niveau de la ligne avec ...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Serge Ganivet</author>
  </authors>
  <commentList>
    <comment ref="AH3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Serge Ganivet:</t>
        </r>
        <r>
          <rPr>
            <sz val="9"/>
            <color indexed="81"/>
            <rFont val="Tahoma"/>
            <family val="2"/>
          </rPr>
          <t xml:space="preserve">
Données générées automatiquement - Ne pas changer / modifier</t>
        </r>
      </text>
    </comment>
    <comment ref="AR3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Serge Ganivet:</t>
        </r>
        <r>
          <rPr>
            <sz val="9"/>
            <color indexed="81"/>
            <rFont val="Tahoma"/>
            <family val="2"/>
          </rPr>
          <t xml:space="preserve">
Données générées automatiquement - Ne pas changer / modifier</t>
        </r>
      </text>
    </comment>
    <comment ref="A4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Serge Ganivet:</t>
        </r>
        <r>
          <rPr>
            <sz val="9"/>
            <color indexed="81"/>
            <rFont val="Tahoma"/>
            <family val="2"/>
          </rPr>
          <t xml:space="preserve">
Completer la liste des districts pour chacune des regions en inserant une ligne au niveau de la ligne avec ...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Serge Ganivet</author>
  </authors>
  <commentList>
    <comment ref="AH3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Serge Ganivet:</t>
        </r>
        <r>
          <rPr>
            <sz val="9"/>
            <color indexed="81"/>
            <rFont val="Tahoma"/>
            <family val="2"/>
          </rPr>
          <t xml:space="preserve">
Données générées automatiquement - Ne pas changer / modifier</t>
        </r>
      </text>
    </comment>
    <comment ref="AR3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Serge Ganivet:</t>
        </r>
        <r>
          <rPr>
            <sz val="9"/>
            <color indexed="81"/>
            <rFont val="Tahoma"/>
            <family val="2"/>
          </rPr>
          <t xml:space="preserve">
Données générées automatiquement - Ne pas changer / modifier</t>
        </r>
      </text>
    </comment>
    <comment ref="A4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Serge Ganivet:</t>
        </r>
        <r>
          <rPr>
            <sz val="9"/>
            <color indexed="81"/>
            <rFont val="Tahoma"/>
            <family val="2"/>
          </rPr>
          <t xml:space="preserve">
Completer la liste des districts pour chacune des regions en inserant une ligne au niveau de la ligne avec ...</t>
        </r>
      </text>
    </comment>
  </commentList>
</comments>
</file>

<file path=xl/sharedStrings.xml><?xml version="1.0" encoding="utf-8"?>
<sst xmlns="http://schemas.openxmlformats.org/spreadsheetml/2006/main" count="2674" uniqueCount="294">
  <si>
    <t>NIGER - Situation des Stocks de Vaccins et Intrants</t>
  </si>
  <si>
    <t>Depots vaccins</t>
  </si>
  <si>
    <t>BCG</t>
  </si>
  <si>
    <t>bVPO</t>
  </si>
  <si>
    <t>Penta</t>
  </si>
  <si>
    <t>PCV13</t>
  </si>
  <si>
    <t>Rota</t>
  </si>
  <si>
    <t>VPI</t>
  </si>
  <si>
    <t>VAR</t>
  </si>
  <si>
    <t>MenA</t>
  </si>
  <si>
    <t>VAA</t>
  </si>
  <si>
    <t>Td</t>
  </si>
  <si>
    <t>Part B: Besoins pour la Periode (doses) - Source SMT 2019</t>
  </si>
  <si>
    <t>Part C: Disponibilité de Stock en Vaccins (# semaines)</t>
  </si>
  <si>
    <t xml:space="preserve">Boboye </t>
  </si>
  <si>
    <t>Dioundou</t>
  </si>
  <si>
    <t>Dogondoutchi</t>
  </si>
  <si>
    <t>DS Dosso</t>
  </si>
  <si>
    <t>Falmey</t>
  </si>
  <si>
    <t>Gaya</t>
  </si>
  <si>
    <t>Loga</t>
  </si>
  <si>
    <t>Abala</t>
  </si>
  <si>
    <t>Ayérou</t>
  </si>
  <si>
    <t>Banibangou</t>
  </si>
  <si>
    <t>Bankilaré</t>
  </si>
  <si>
    <t>Baleyara</t>
  </si>
  <si>
    <t>Filingué</t>
  </si>
  <si>
    <t>Gothèye</t>
  </si>
  <si>
    <t>Kollo</t>
  </si>
  <si>
    <t>Ouallam</t>
  </si>
  <si>
    <t>Say</t>
  </si>
  <si>
    <t>Téra</t>
  </si>
  <si>
    <t>Tillabéry</t>
  </si>
  <si>
    <t>Torodi</t>
  </si>
  <si>
    <t>District Bilma</t>
  </si>
  <si>
    <t>Aguié</t>
  </si>
  <si>
    <t>Bermo</t>
  </si>
  <si>
    <t>Dakoro</t>
  </si>
  <si>
    <t>Gazaoua</t>
  </si>
  <si>
    <t>Guidan Roumdji</t>
  </si>
  <si>
    <t>Madarounfa</t>
  </si>
  <si>
    <t>Maradi ville</t>
  </si>
  <si>
    <t>Mayahi</t>
  </si>
  <si>
    <t>Tessaoua</t>
  </si>
  <si>
    <t>Abalack</t>
  </si>
  <si>
    <t>Bagaroua</t>
  </si>
  <si>
    <t>Bouza</t>
  </si>
  <si>
    <t>Illéla</t>
  </si>
  <si>
    <t>Keita</t>
  </si>
  <si>
    <t>Konni</t>
  </si>
  <si>
    <t>Madaoua</t>
  </si>
  <si>
    <t>Tahoua Com</t>
  </si>
  <si>
    <t>Tahoua Dep</t>
  </si>
  <si>
    <t>Tassara</t>
  </si>
  <si>
    <t>Tchinta</t>
  </si>
  <si>
    <t>Tillia</t>
  </si>
  <si>
    <t>Malbaza</t>
  </si>
  <si>
    <t>Bosso</t>
  </si>
  <si>
    <t xml:space="preserve">DS Diffa </t>
  </si>
  <si>
    <t>Goudoumaria</t>
  </si>
  <si>
    <t>Mainé</t>
  </si>
  <si>
    <t>N'Gourti</t>
  </si>
  <si>
    <t>N'Guigmi</t>
  </si>
  <si>
    <t>Belbeji</t>
  </si>
  <si>
    <t>Damagaram Takaya</t>
  </si>
  <si>
    <t>Doungass</t>
  </si>
  <si>
    <t>Gouré</t>
  </si>
  <si>
    <t>Magaria</t>
  </si>
  <si>
    <t>Matameye</t>
  </si>
  <si>
    <t>Mirriah</t>
  </si>
  <si>
    <t>Takieta</t>
  </si>
  <si>
    <t>Tanout</t>
  </si>
  <si>
    <t>Tesker</t>
  </si>
  <si>
    <t>Zinder Ville</t>
  </si>
  <si>
    <t>Niamey I</t>
  </si>
  <si>
    <t>Niamey II</t>
  </si>
  <si>
    <t>Niamey III</t>
  </si>
  <si>
    <t>Niamey IV</t>
  </si>
  <si>
    <t>Niamey V</t>
  </si>
  <si>
    <t xml:space="preserve">Tibiri </t>
  </si>
  <si>
    <t>VPO</t>
  </si>
  <si>
    <t>PENTA</t>
  </si>
  <si>
    <t>ROTA</t>
  </si>
  <si>
    <t>Pop &lt;1 an</t>
  </si>
  <si>
    <t>Region Maradi</t>
  </si>
  <si>
    <t>Region Diffa</t>
  </si>
  <si>
    <t>Region Zinder</t>
  </si>
  <si>
    <t xml:space="preserve">Region Agadez </t>
  </si>
  <si>
    <t xml:space="preserve">Region Tahoua </t>
  </si>
  <si>
    <t xml:space="preserve">Region Tillabéri </t>
  </si>
  <si>
    <t xml:space="preserve">Region Niamey </t>
  </si>
  <si>
    <t xml:space="preserve">Region Dosso </t>
  </si>
  <si>
    <t>Periode couverte</t>
  </si>
  <si>
    <t>Du</t>
  </si>
  <si>
    <t>Au</t>
  </si>
  <si>
    <t>Doses reçues</t>
  </si>
  <si>
    <t>Solde</t>
  </si>
  <si>
    <t>Jours de rupture</t>
  </si>
  <si>
    <t>Part A: Donnees de stock</t>
  </si>
  <si>
    <t>1er/01/2020</t>
  </si>
  <si>
    <t xml:space="preserve"> Aderbissinat</t>
  </si>
  <si>
    <t>DS Agadez Com</t>
  </si>
  <si>
    <t>Arlit</t>
  </si>
  <si>
    <t xml:space="preserve"> Iferouane</t>
  </si>
  <si>
    <t xml:space="preserve"> Ingal</t>
  </si>
  <si>
    <t>Tchirozerine</t>
  </si>
  <si>
    <t>qui est en atelier à Niamey (Modélisation de la chaîne d'approvisionnement.</t>
  </si>
  <si>
    <t xml:space="preserve">Pour les DS de Mainé Soroa et Goudoumaria, le véhicule du consultant CCEOP de l'Unicef - Diffa a été mis en contribution </t>
  </si>
  <si>
    <t>pour leur ravaitaillement du mois de février respectivement le 30/01/2020 et 31/01/2020.</t>
  </si>
  <si>
    <t>S'agisant du DS de Diffa, son ravitaillement du mois de février, a été fait le 31/01/2020 et seul le vaccin bVPO n'a pas été</t>
  </si>
  <si>
    <t>satisfait dans la proportion commandée et légèrement pour le BCG;</t>
  </si>
  <si>
    <t xml:space="preserve">Le DS de N'Gourti a effectué son ravitaillement du mois de janvier à la date du 24/01/2020 et n'a pas encore placé sa commande </t>
  </si>
  <si>
    <t>du mois de février 2020.</t>
  </si>
  <si>
    <r>
      <rPr>
        <b/>
        <sz val="11"/>
        <color theme="1"/>
        <rFont val="Calibri"/>
        <family val="2"/>
      </rPr>
      <t>Au dépôt régional:</t>
    </r>
    <r>
      <rPr>
        <sz val="11"/>
        <color theme="1"/>
        <rFont val="Calibri"/>
        <family val="2"/>
      </rPr>
      <t xml:space="preserve">  constat une pré rupture pour la majorité des vaccins;</t>
    </r>
  </si>
  <si>
    <r>
      <rPr>
        <b/>
        <sz val="11"/>
        <color theme="1"/>
        <rFont val="Calibri"/>
        <family val="2"/>
      </rPr>
      <t xml:space="preserve">Comme action entreprise </t>
    </r>
    <r>
      <rPr>
        <sz val="11"/>
        <color theme="1"/>
        <rFont val="Calibri"/>
        <family val="2"/>
      </rPr>
      <t>:une commande a été préparée et envoyée à la DI ce jour mercredi 05/02/2020 par le CRI</t>
    </r>
  </si>
  <si>
    <t>Au DS de Bosso et N'Guigmi :leurs commandes du mois de février 2020 n'ont pas ete envoyé ;</t>
  </si>
  <si>
    <r>
      <rPr>
        <b/>
        <sz val="11"/>
        <color theme="1"/>
        <rFont val="Calibri"/>
        <family val="2"/>
      </rPr>
      <t xml:space="preserve">Comme action : </t>
    </r>
    <r>
      <rPr>
        <sz val="11"/>
        <color theme="1"/>
        <rFont val="Calibri"/>
        <family val="2"/>
      </rPr>
      <t>Les CDI doivent avoir le reflexe de placer leurs commandes ou se ravitailler afin d'éviter une rupture totale.</t>
    </r>
  </si>
  <si>
    <t>Région DIFFA</t>
  </si>
  <si>
    <t>Région DOSSO</t>
  </si>
  <si>
    <r>
      <rPr>
        <b/>
        <sz val="11"/>
        <color theme="1"/>
        <rFont val="Calibri"/>
        <family val="2"/>
      </rPr>
      <t>Au dépôt régional:</t>
    </r>
    <r>
      <rPr>
        <sz val="11"/>
        <color theme="1"/>
        <rFont val="Calibri"/>
        <family val="2"/>
      </rPr>
      <t xml:space="preserve"> constat une pré rupture pour les vaccins BCG, VAA et Td.</t>
    </r>
  </si>
  <si>
    <r>
      <rPr>
        <b/>
        <sz val="11"/>
        <color theme="1"/>
        <rFont val="Calibri"/>
        <family val="2"/>
        <scheme val="minor"/>
      </rPr>
      <t xml:space="preserve">Comme action: </t>
    </r>
    <r>
      <rPr>
        <sz val="11"/>
        <color theme="1"/>
        <rFont val="Calibri"/>
        <family val="2"/>
        <scheme val="minor"/>
      </rPr>
      <t xml:space="preserve">le CRI doit de nouveau voir son plan de distribution et veiller à la situation de l'inventaire physique mensuel des vaccins pour corriger  </t>
    </r>
  </si>
  <si>
    <r>
      <rPr>
        <b/>
        <sz val="11"/>
        <color theme="1"/>
        <rFont val="Calibri"/>
        <family val="2"/>
        <scheme val="minor"/>
      </rPr>
      <t xml:space="preserve">Au depot district de la région: </t>
    </r>
    <r>
      <rPr>
        <sz val="11"/>
        <color theme="1"/>
        <rFont val="Calibri"/>
        <family val="2"/>
        <scheme val="minor"/>
      </rPr>
      <t xml:space="preserve">Constat: 7 DS sur 8DS ont un stock de vaccins adéquat avec un surplus d'une à 2 semaines de quelques vaccins  </t>
    </r>
  </si>
  <si>
    <r>
      <rPr>
        <b/>
        <sz val="11"/>
        <color theme="1"/>
        <rFont val="Calibri"/>
        <family val="2"/>
      </rPr>
      <t xml:space="preserve">Comme action entreprise </t>
    </r>
    <r>
      <rPr>
        <sz val="11"/>
        <color theme="1"/>
        <rFont val="Calibri"/>
        <family val="2"/>
      </rPr>
      <t>:une commande a été préparée et envoyée à la DI  par le CRI le 31 janvier 2020 et envoyée à la DI</t>
    </r>
  </si>
  <si>
    <t xml:space="preserve"> Le depot de district  de Doutchi est en rupture de vaccins PENTA , PCV13 et ROTA ; le BCG , VPO et VAA en pré rupture et 2 vaccins VAA et TD avec un stock insuffisant</t>
  </si>
  <si>
    <t>Région MARADI</t>
  </si>
  <si>
    <r>
      <rPr>
        <b/>
        <sz val="11"/>
        <color theme="1"/>
        <rFont val="Calibri"/>
        <family val="2"/>
      </rPr>
      <t>Au dépôt régional:</t>
    </r>
    <r>
      <rPr>
        <sz val="11"/>
        <color theme="1"/>
        <rFont val="Calibri"/>
        <family val="2"/>
      </rPr>
      <t xml:space="preserve"> constat  rupture pour les vaccins BCG, VAA .</t>
    </r>
  </si>
  <si>
    <r>
      <rPr>
        <b/>
        <sz val="11"/>
        <color theme="1"/>
        <rFont val="Calibri"/>
        <family val="2"/>
      </rPr>
      <t xml:space="preserve">Comme action entreprise </t>
    </r>
    <r>
      <rPr>
        <sz val="11"/>
        <color theme="1"/>
        <rFont val="Calibri"/>
        <family val="2"/>
      </rPr>
      <t>:une commande a été préparée et envoyée à la DI  par le CRI le 02 février 2020 et transmis à la DI</t>
    </r>
  </si>
  <si>
    <r>
      <rPr>
        <b/>
        <sz val="11"/>
        <color theme="1"/>
        <rFont val="Calibri"/>
        <family val="2"/>
        <scheme val="minor"/>
      </rPr>
      <t xml:space="preserve">Au depot district de la région: </t>
    </r>
    <r>
      <rPr>
        <sz val="11"/>
        <color theme="1"/>
        <rFont val="Calibri"/>
        <family val="2"/>
        <scheme val="minor"/>
      </rPr>
      <t xml:space="preserve">Constat: rupture de BCG dans le 2 DS Guidan Roumdji et Madarounfa </t>
    </r>
  </si>
  <si>
    <r>
      <rPr>
        <b/>
        <sz val="11"/>
        <color theme="1"/>
        <rFont val="Calibri"/>
        <family val="2"/>
        <scheme val="minor"/>
      </rPr>
      <t xml:space="preserve">Comme action: </t>
    </r>
    <r>
      <rPr>
        <sz val="11"/>
        <color theme="1"/>
        <rFont val="Calibri"/>
        <family val="2"/>
        <scheme val="minor"/>
      </rPr>
      <t>la région  doit ravitailler ces districts néamoins la région est  en rupture depuis le 15/01/20120</t>
    </r>
  </si>
  <si>
    <t xml:space="preserve"> Le depot de district  de Tessaoua est en rupture de vaccins PENTA ,  ROTA ,VPI, MenA, et TD</t>
  </si>
  <si>
    <r>
      <rPr>
        <b/>
        <sz val="11"/>
        <color theme="1"/>
        <rFont val="Calibri"/>
        <family val="2"/>
        <scheme val="minor"/>
      </rPr>
      <t xml:space="preserve">Comme action: </t>
    </r>
    <r>
      <rPr>
        <sz val="11"/>
        <color theme="1"/>
        <rFont val="Calibri"/>
        <family val="2"/>
        <scheme val="minor"/>
      </rPr>
      <t xml:space="preserve">la région  doit ravitailler ces districts néamoins la région est  en rupture depuis le 15/01/20120 </t>
    </r>
  </si>
  <si>
    <t>Pour le cas du district de Tessaoua qui est en rupture la region doit immediatement ravitailler ce district</t>
  </si>
  <si>
    <t>Région TAHOUA</t>
  </si>
  <si>
    <r>
      <rPr>
        <b/>
        <sz val="11"/>
        <color theme="1"/>
        <rFont val="Calibri"/>
        <family val="2"/>
      </rPr>
      <t>Au dépôt régional:</t>
    </r>
    <r>
      <rPr>
        <sz val="11"/>
        <color theme="1"/>
        <rFont val="Calibri"/>
        <family val="2"/>
      </rPr>
      <t xml:space="preserve"> constat  rupture de 6 antigenes  PENTA,ROTA,VPI,MenA, VAA, TD</t>
    </r>
  </si>
  <si>
    <r>
      <rPr>
        <b/>
        <sz val="11"/>
        <color theme="1"/>
        <rFont val="Calibri"/>
        <family val="2"/>
      </rPr>
      <t xml:space="preserve">Comme action entreprise </t>
    </r>
    <r>
      <rPr>
        <sz val="11"/>
        <color theme="1"/>
        <rFont val="Calibri"/>
        <family val="2"/>
      </rPr>
      <t>:une commande a été préparée et envoyée à la DI  par le CRI le 31 janvier  2020 et transmis à la DI</t>
    </r>
  </si>
  <si>
    <t>La DI doit impérativement  ravitailler ces régions avec comme priorité la région de Tahoua</t>
  </si>
  <si>
    <r>
      <rPr>
        <b/>
        <sz val="11"/>
        <color theme="1"/>
        <rFont val="Calibri"/>
        <family val="2"/>
        <scheme val="minor"/>
      </rPr>
      <t xml:space="preserve">Au depot district de la région: </t>
    </r>
    <r>
      <rPr>
        <sz val="11"/>
        <color theme="1"/>
        <rFont val="Calibri"/>
        <family val="2"/>
        <scheme val="minor"/>
      </rPr>
      <t>Constat: tous les 13 districts ont un stock qui varie de 4 à 6 semaines excepté les DS de Bouza en rupture de Penta , MenA.</t>
    </r>
  </si>
  <si>
    <t xml:space="preserve"> Les  depots de districts  de Illéla, Keita, et Tahoua commune est en rupture de vaccins MenA</t>
  </si>
  <si>
    <t xml:space="preserve">Idem pour le DS de Tillia en prérupture de Penta et Td </t>
  </si>
  <si>
    <r>
      <rPr>
        <b/>
        <sz val="11"/>
        <color theme="1"/>
        <rFont val="Calibri"/>
        <family val="2"/>
        <scheme val="minor"/>
      </rPr>
      <t xml:space="preserve">Comme action: </t>
    </r>
    <r>
      <rPr>
        <sz val="11"/>
        <color theme="1"/>
        <rFont val="Calibri"/>
        <family val="2"/>
        <scheme val="minor"/>
      </rPr>
      <t xml:space="preserve">la région  doit ravitailler ces districts néamoins la région est  en rupture depuis le 31/01/20120 </t>
    </r>
  </si>
  <si>
    <t>Nouveau-Né</t>
  </si>
  <si>
    <t>N. Survivant</t>
  </si>
  <si>
    <t>TAUX DE SATISFACTION DES BESOINS ANNUELS</t>
  </si>
  <si>
    <t>1er/03/2020</t>
  </si>
  <si>
    <t>1er/04/2020</t>
  </si>
  <si>
    <t>1er/05/2020</t>
  </si>
  <si>
    <t xml:space="preserve">Region Tillaberi </t>
  </si>
  <si>
    <t>1er/aout/2020</t>
  </si>
  <si>
    <t>1er/08/2020</t>
  </si>
  <si>
    <t>Stocks en début d'année</t>
  </si>
  <si>
    <t>DTC-HepB-Hib</t>
  </si>
  <si>
    <t>PCV-13</t>
  </si>
  <si>
    <t>Rota_liq</t>
  </si>
  <si>
    <t>Men_A</t>
  </si>
  <si>
    <t xml:space="preserve">                     -  </t>
  </si>
  <si>
    <t>Doses recues de Janvier à Mai</t>
  </si>
  <si>
    <t>Doses Utilisées de Janvier à Mai</t>
  </si>
  <si>
    <t>Aires de santé</t>
  </si>
  <si>
    <t>Total Penta</t>
  </si>
  <si>
    <t>PERTES Penta</t>
  </si>
  <si>
    <t>D.Takaya</t>
  </si>
  <si>
    <t xml:space="preserve">          30 178 </t>
  </si>
  <si>
    <t xml:space="preserve">        30 225 </t>
  </si>
  <si>
    <t>Dungass</t>
  </si>
  <si>
    <t xml:space="preserve">          43 184 </t>
  </si>
  <si>
    <t xml:space="preserve">        43 322 </t>
  </si>
  <si>
    <t xml:space="preserve">          35 002 </t>
  </si>
  <si>
    <t xml:space="preserve">        35 179 </t>
  </si>
  <si>
    <t>Takeita</t>
  </si>
  <si>
    <t xml:space="preserve">          33 795 </t>
  </si>
  <si>
    <t xml:space="preserve">        33 977 </t>
  </si>
  <si>
    <t xml:space="preserve">          55 966 </t>
  </si>
  <si>
    <t xml:space="preserve">        56 367 </t>
  </si>
  <si>
    <t xml:space="preserve">          48 128 </t>
  </si>
  <si>
    <t xml:space="preserve">        48 678 </t>
  </si>
  <si>
    <t>Penta UTILISE/DVD</t>
  </si>
  <si>
    <t>Penta utilisé/st Vacc</t>
  </si>
  <si>
    <t>Mainé Soroa</t>
  </si>
  <si>
    <t xml:space="preserve">          10 921 </t>
  </si>
  <si>
    <t xml:space="preserve">        12 930 </t>
  </si>
  <si>
    <t>Diffa</t>
  </si>
  <si>
    <t xml:space="preserve">          20 385 </t>
  </si>
  <si>
    <t xml:space="preserve">        23 496 </t>
  </si>
  <si>
    <t>Bilma</t>
  </si>
  <si>
    <t xml:space="preserve">            1 279 </t>
  </si>
  <si>
    <t xml:space="preserve">         1 446 </t>
  </si>
  <si>
    <t>Niamey  II</t>
  </si>
  <si>
    <t xml:space="preserve">          21 787 </t>
  </si>
  <si>
    <t xml:space="preserve">        24 550 </t>
  </si>
  <si>
    <t>Aderbissanat</t>
  </si>
  <si>
    <t xml:space="preserve">            3 417 </t>
  </si>
  <si>
    <t xml:space="preserve">         3 748 </t>
  </si>
  <si>
    <t xml:space="preserve">            3 028 </t>
  </si>
  <si>
    <t xml:space="preserve">         3 314 </t>
  </si>
  <si>
    <t>Ingall</t>
  </si>
  <si>
    <t xml:space="preserve">            5 236 </t>
  </si>
  <si>
    <t xml:space="preserve">         5 720 </t>
  </si>
  <si>
    <t>Tchirozérine</t>
  </si>
  <si>
    <t xml:space="preserve">            9 519 </t>
  </si>
  <si>
    <t xml:space="preserve">        10 290 </t>
  </si>
  <si>
    <t xml:space="preserve">            2 160 </t>
  </si>
  <si>
    <t xml:space="preserve">         2 330 </t>
  </si>
  <si>
    <t xml:space="preserve">            6 856 </t>
  </si>
  <si>
    <t xml:space="preserve">         7 360 </t>
  </si>
  <si>
    <t>Total VAR</t>
  </si>
  <si>
    <t>PERTES VAR</t>
  </si>
  <si>
    <t xml:space="preserve">         4 869 </t>
  </si>
  <si>
    <t xml:space="preserve">         4 320 </t>
  </si>
  <si>
    <t xml:space="preserve">Mirriah </t>
  </si>
  <si>
    <t xml:space="preserve">        32 399 </t>
  </si>
  <si>
    <t xml:space="preserve">        32 437 </t>
  </si>
  <si>
    <t>VAR utilisé/st Vacc</t>
  </si>
  <si>
    <t>VAR UTILISE/ DVD</t>
  </si>
  <si>
    <t xml:space="preserve">         1 779 </t>
  </si>
  <si>
    <t xml:space="preserve">         2 370 </t>
  </si>
  <si>
    <t xml:space="preserve">         2 702 </t>
  </si>
  <si>
    <t xml:space="preserve">         3 586 </t>
  </si>
  <si>
    <t>Total VPO</t>
  </si>
  <si>
    <t>PERTES VPO</t>
  </si>
  <si>
    <t xml:space="preserve">          12 449 </t>
  </si>
  <si>
    <t xml:space="preserve">          12 260 </t>
  </si>
  <si>
    <t xml:space="preserve">            3 448 </t>
  </si>
  <si>
    <t xml:space="preserve">            3 255 </t>
  </si>
  <si>
    <t xml:space="preserve">          35 715 </t>
  </si>
  <si>
    <t xml:space="preserve">          35 678 </t>
  </si>
  <si>
    <t>Kantché</t>
  </si>
  <si>
    <t xml:space="preserve">          66 822 </t>
  </si>
  <si>
    <t xml:space="preserve">          66 864 </t>
  </si>
  <si>
    <t xml:space="preserve">          76 428 </t>
  </si>
  <si>
    <t xml:space="preserve">          74 378 </t>
  </si>
  <si>
    <t xml:space="preserve">          60 832 </t>
  </si>
  <si>
    <t xml:space="preserve">          60 601 </t>
  </si>
  <si>
    <t xml:space="preserve">          51 538 </t>
  </si>
  <si>
    <t xml:space="preserve">          51 258 </t>
  </si>
  <si>
    <t>VPOb utilisé/st Vacc</t>
  </si>
  <si>
    <t>VPOb UTILISE DVD</t>
  </si>
  <si>
    <t xml:space="preserve">            6 771 </t>
  </si>
  <si>
    <t xml:space="preserve">            8 230 </t>
  </si>
  <si>
    <t xml:space="preserve">            5 876 </t>
  </si>
  <si>
    <t xml:space="preserve">            7 020 </t>
  </si>
  <si>
    <t xml:space="preserve">          28 850 </t>
  </si>
  <si>
    <t xml:space="preserve">          34 160 </t>
  </si>
  <si>
    <t xml:space="preserve">          22 410 </t>
  </si>
  <si>
    <t xml:space="preserve">          26 000 </t>
  </si>
  <si>
    <t xml:space="preserve">          11 879 </t>
  </si>
  <si>
    <t xml:space="preserve">          13 600 </t>
  </si>
  <si>
    <t xml:space="preserve">          10 766 </t>
  </si>
  <si>
    <t xml:space="preserve">          12 300 </t>
  </si>
  <si>
    <t xml:space="preserve">            2 841 </t>
  </si>
  <si>
    <t xml:space="preserve">            3 220 </t>
  </si>
  <si>
    <t>N'gourti</t>
  </si>
  <si>
    <t xml:space="preserve">            4 965 </t>
  </si>
  <si>
    <t xml:space="preserve">            5 590 </t>
  </si>
  <si>
    <t xml:space="preserve">          20 744 </t>
  </si>
  <si>
    <t xml:space="preserve">          23 260 </t>
  </si>
  <si>
    <t>Niamey  V</t>
  </si>
  <si>
    <t xml:space="preserve">          14 881 </t>
  </si>
  <si>
    <t xml:space="preserve">          16 680 </t>
  </si>
  <si>
    <t xml:space="preserve">          55 443 </t>
  </si>
  <si>
    <t xml:space="preserve">          61 800 </t>
  </si>
  <si>
    <t>Niamey  I</t>
  </si>
  <si>
    <t xml:space="preserve">          27 064 </t>
  </si>
  <si>
    <t xml:space="preserve">          30 040 </t>
  </si>
  <si>
    <t>Balleyara</t>
  </si>
  <si>
    <t xml:space="preserve">          12 703 </t>
  </si>
  <si>
    <t xml:space="preserve">          14 060 </t>
  </si>
  <si>
    <t xml:space="preserve">            4 066 </t>
  </si>
  <si>
    <t xml:space="preserve">            4 500 </t>
  </si>
  <si>
    <t xml:space="preserve">          44 811 </t>
  </si>
  <si>
    <t xml:space="preserve">          49 540 </t>
  </si>
  <si>
    <t xml:space="preserve">            5 994 </t>
  </si>
  <si>
    <t xml:space="preserve">            6 600 </t>
  </si>
  <si>
    <t>Tibiri</t>
  </si>
  <si>
    <t xml:space="preserve">          35 990 </t>
  </si>
  <si>
    <t xml:space="preserve">          39 622 </t>
  </si>
  <si>
    <t xml:space="preserve">          69 708 </t>
  </si>
  <si>
    <t xml:space="preserve">          76 270 </t>
  </si>
  <si>
    <t>Niamey  IV</t>
  </si>
  <si>
    <t xml:space="preserve">          36 825 </t>
  </si>
  <si>
    <t xml:space="preserve">          40 280 </t>
  </si>
  <si>
    <t xml:space="preserve">          14 644 </t>
  </si>
  <si>
    <t xml:space="preserve">          15 990 </t>
  </si>
  <si>
    <t xml:space="preserve">          18 487 </t>
  </si>
  <si>
    <t xml:space="preserve">          20 120 </t>
  </si>
  <si>
    <t>Niamey  III</t>
  </si>
  <si>
    <t xml:space="preserve">          24 282 </t>
  </si>
  <si>
    <t xml:space="preserve">          26 380 </t>
  </si>
  <si>
    <t xml:space="preserve">          38 301 </t>
  </si>
  <si>
    <t xml:space="preserve">          41 440 </t>
  </si>
  <si>
    <t xml:space="preserve">          20 538 </t>
  </si>
  <si>
    <t xml:space="preserve">          22 220 </t>
  </si>
  <si>
    <t>Dosso</t>
  </si>
  <si>
    <t xml:space="preserve">          61 799 </t>
  </si>
  <si>
    <t xml:space="preserve">          66 830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</si>
</sst>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\ _€_-;\-* #,##0.00\ _€_-;_-* &quot;-&quot;??\ _€_-;_-@_-"/>
    <numFmt numFmtId="165" formatCode="[$-409]dd/mmm/yy;@"/>
    <numFmt numFmtId="166" formatCode="_(* #,##0_);_(* \(#,##0\);_(* &quot;-&quot;??_);_(@_)"/>
    <numFmt numFmtId="167" formatCode="0.0"/>
  </numFmts>
  <fonts count="4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0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i/>
      <sz val="10"/>
      <color theme="1"/>
      <name val="Arial Narrow"/>
      <family val="2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9"/>
      <name val="Arial Narrow"/>
      <family val="2"/>
    </font>
    <font>
      <b/>
      <sz val="14"/>
      <color rgb="FF000000"/>
      <name val="Calibri"/>
      <family val="2"/>
    </font>
    <font>
      <b/>
      <sz val="14"/>
      <color rgb="FFFF0000"/>
      <name val="Calibri"/>
      <family val="2"/>
    </font>
    <font>
      <sz val="14"/>
      <color rgb="FF000000"/>
      <name val="Arial Narrow"/>
      <family val="2"/>
    </font>
    <font>
      <b/>
      <sz val="14"/>
      <color rgb="FFFF0000"/>
      <name val="Arial Narrow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000000"/>
      <name val="Arial Narrow"/>
      <family val="2"/>
    </font>
    <font>
      <b/>
      <sz val="11"/>
      <color rgb="FFFF0000"/>
      <name val="Arial Narrow"/>
      <family val="2"/>
    </font>
    <font>
      <sz val="9"/>
      <color rgb="FF000000"/>
      <name val="Arial Narrow"/>
      <family val="2"/>
    </font>
    <font>
      <b/>
      <sz val="14"/>
      <color rgb="FF000000"/>
      <name val="Arial Narrow"/>
      <family val="2"/>
    </font>
    <font>
      <b/>
      <sz val="11"/>
      <color rgb="FF000000"/>
      <name val="Arial Narrow"/>
      <family val="2"/>
    </font>
    <font>
      <b/>
      <sz val="9"/>
      <color rgb="FF000000"/>
      <name val="Calibri"/>
      <family val="2"/>
    </font>
    <font>
      <b/>
      <sz val="9"/>
      <color rgb="FFFF0000"/>
      <name val="Calibri"/>
      <family val="2"/>
    </font>
    <font>
      <b/>
      <sz val="9"/>
      <color rgb="FFFF0000"/>
      <name val="Arial Narrow"/>
      <family val="2"/>
    </font>
    <font>
      <sz val="9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0737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CCFFFF"/>
        <bgColor indexed="64"/>
      </patternFill>
    </fill>
  </fills>
  <borders count="70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theme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dotted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dotted">
        <color rgb="FF000000"/>
      </bottom>
      <diagonal/>
    </border>
    <border>
      <left style="thin">
        <color indexed="64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indexed="64"/>
      </right>
      <top style="dotted">
        <color rgb="FF000000"/>
      </top>
      <bottom style="dotted">
        <color rgb="FF000000"/>
      </bottom>
      <diagonal/>
    </border>
    <border>
      <left style="thin">
        <color indexed="64"/>
      </left>
      <right style="thin">
        <color rgb="FF000000"/>
      </right>
      <top style="dotted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dotted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dotted">
        <color rgb="FF000000"/>
      </bottom>
      <diagonal/>
    </border>
  </borders>
  <cellStyleXfs count="5">
    <xf numFmtId="0" fontId="0" fillId="0" borderId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4" fillId="0" borderId="0"/>
  </cellStyleXfs>
  <cellXfs count="456">
    <xf numFmtId="0" fontId="0" fillId="0" borderId="0" xfId="0"/>
    <xf numFmtId="0" fontId="1" fillId="0" borderId="0" xfId="0" applyFont="1" applyAlignment="1">
      <alignment horizontal="center"/>
    </xf>
    <xf numFmtId="3" fontId="0" fillId="0" borderId="0" xfId="0" applyNumberFormat="1"/>
    <xf numFmtId="165" fontId="0" fillId="0" borderId="0" xfId="0" applyNumberFormat="1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9" fontId="4" fillId="0" borderId="11" xfId="0" applyNumberFormat="1" applyFont="1" applyFill="1" applyBorder="1" applyAlignment="1">
      <alignment horizontal="center" vertical="center"/>
    </xf>
    <xf numFmtId="9" fontId="5" fillId="0" borderId="10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3" fontId="3" fillId="0" borderId="0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3" fontId="3" fillId="3" borderId="0" xfId="0" applyNumberFormat="1" applyFont="1" applyFill="1" applyBorder="1" applyAlignment="1">
      <alignment horizontal="center" vertical="center"/>
    </xf>
    <xf numFmtId="3" fontId="3" fillId="3" borderId="0" xfId="0" applyNumberFormat="1" applyFont="1" applyFill="1" applyBorder="1" applyAlignment="1">
      <alignment horizontal="right" vertical="center"/>
    </xf>
    <xf numFmtId="3" fontId="3" fillId="3" borderId="2" xfId="0" applyNumberFormat="1" applyFont="1" applyFill="1" applyBorder="1" applyAlignment="1">
      <alignment horizontal="right" vertical="center"/>
    </xf>
    <xf numFmtId="0" fontId="0" fillId="0" borderId="0" xfId="0"/>
    <xf numFmtId="0" fontId="3" fillId="0" borderId="3" xfId="0" applyFont="1" applyBorder="1" applyAlignment="1">
      <alignment vertical="center"/>
    </xf>
    <xf numFmtId="0" fontId="8" fillId="5" borderId="0" xfId="0" applyFont="1" applyFill="1"/>
    <xf numFmtId="0" fontId="0" fillId="5" borderId="0" xfId="0" applyFill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0" xfId="0" applyFont="1" applyFill="1"/>
    <xf numFmtId="0" fontId="0" fillId="0" borderId="0" xfId="0" applyFill="1"/>
    <xf numFmtId="0" fontId="1" fillId="0" borderId="0" xfId="0" applyFont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4" fillId="10" borderId="17" xfId="0" applyFont="1" applyFill="1" applyBorder="1" applyAlignment="1">
      <alignment horizontal="center" vertical="center"/>
    </xf>
    <xf numFmtId="0" fontId="9" fillId="16" borderId="20" xfId="0" applyFont="1" applyFill="1" applyBorder="1" applyAlignment="1">
      <alignment horizontal="center" vertical="center"/>
    </xf>
    <xf numFmtId="0" fontId="9" fillId="9" borderId="21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9" fillId="16" borderId="21" xfId="0" applyFont="1" applyFill="1" applyBorder="1" applyAlignment="1">
      <alignment horizontal="center" vertical="center"/>
    </xf>
    <xf numFmtId="0" fontId="9" fillId="2" borderId="26" xfId="0" applyFont="1" applyFill="1" applyBorder="1" applyAlignment="1">
      <alignment horizontal="center" vertical="center"/>
    </xf>
    <xf numFmtId="0" fontId="9" fillId="16" borderId="22" xfId="0" applyFont="1" applyFill="1" applyBorder="1" applyAlignment="1">
      <alignment horizontal="center" vertical="center"/>
    </xf>
    <xf numFmtId="0" fontId="9" fillId="9" borderId="23" xfId="0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horizontal="center" vertical="center"/>
    </xf>
    <xf numFmtId="3" fontId="11" fillId="0" borderId="12" xfId="0" applyNumberFormat="1" applyFont="1" applyBorder="1" applyAlignment="1">
      <alignment horizontal="center" vertical="center"/>
    </xf>
    <xf numFmtId="3" fontId="10" fillId="0" borderId="12" xfId="0" applyNumberFormat="1" applyFont="1" applyBorder="1" applyAlignment="1">
      <alignment horizontal="center" vertical="center"/>
    </xf>
    <xf numFmtId="165" fontId="10" fillId="0" borderId="17" xfId="0" applyNumberFormat="1" applyFont="1" applyBorder="1" applyAlignment="1">
      <alignment horizontal="center" vertical="center"/>
    </xf>
    <xf numFmtId="165" fontId="10" fillId="0" borderId="16" xfId="0" applyNumberFormat="1" applyFont="1" applyBorder="1" applyAlignment="1">
      <alignment horizontal="center" vertical="center"/>
    </xf>
    <xf numFmtId="3" fontId="11" fillId="0" borderId="17" xfId="0" applyNumberFormat="1" applyFont="1" applyBorder="1" applyAlignment="1">
      <alignment horizontal="center" vertical="center"/>
    </xf>
    <xf numFmtId="3" fontId="11" fillId="0" borderId="16" xfId="0" applyNumberFormat="1" applyFont="1" applyBorder="1" applyAlignment="1">
      <alignment horizontal="center" vertical="center"/>
    </xf>
    <xf numFmtId="3" fontId="10" fillId="0" borderId="28" xfId="0" applyNumberFormat="1" applyFont="1" applyBorder="1" applyAlignment="1">
      <alignment horizontal="center" vertical="center"/>
    </xf>
    <xf numFmtId="3" fontId="10" fillId="0" borderId="16" xfId="0" applyNumberFormat="1" applyFont="1" applyBorder="1" applyAlignment="1">
      <alignment horizontal="center" vertical="center"/>
    </xf>
    <xf numFmtId="3" fontId="10" fillId="0" borderId="17" xfId="0" applyNumberFormat="1" applyFont="1" applyBorder="1" applyAlignment="1">
      <alignment horizontal="center" vertical="center"/>
    </xf>
    <xf numFmtId="1" fontId="10" fillId="0" borderId="16" xfId="0" applyNumberFormat="1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3" fontId="10" fillId="5" borderId="12" xfId="0" applyNumberFormat="1" applyFont="1" applyFill="1" applyBorder="1" applyAlignment="1">
      <alignment horizontal="center" vertical="center"/>
    </xf>
    <xf numFmtId="3" fontId="10" fillId="5" borderId="17" xfId="0" applyNumberFormat="1" applyFont="1" applyFill="1" applyBorder="1" applyAlignment="1">
      <alignment horizontal="center" vertical="center"/>
    </xf>
    <xf numFmtId="3" fontId="10" fillId="5" borderId="16" xfId="0" applyNumberFormat="1" applyFont="1" applyFill="1" applyBorder="1" applyAlignment="1">
      <alignment horizontal="center" vertical="center"/>
    </xf>
    <xf numFmtId="3" fontId="10" fillId="5" borderId="28" xfId="0" applyNumberFormat="1" applyFont="1" applyFill="1" applyBorder="1" applyAlignment="1">
      <alignment horizontal="center" vertical="center"/>
    </xf>
    <xf numFmtId="165" fontId="10" fillId="0" borderId="18" xfId="0" applyNumberFormat="1" applyFont="1" applyBorder="1" applyAlignment="1">
      <alignment horizontal="center" vertical="center"/>
    </xf>
    <xf numFmtId="3" fontId="10" fillId="0" borderId="25" xfId="0" applyNumberFormat="1" applyFont="1" applyBorder="1" applyAlignment="1">
      <alignment horizontal="center" vertical="center"/>
    </xf>
    <xf numFmtId="3" fontId="10" fillId="0" borderId="19" xfId="0" applyNumberFormat="1" applyFont="1" applyBorder="1" applyAlignment="1">
      <alignment horizontal="center" vertical="center"/>
    </xf>
    <xf numFmtId="3" fontId="10" fillId="0" borderId="18" xfId="0" applyNumberFormat="1" applyFont="1" applyBorder="1" applyAlignment="1">
      <alignment horizontal="center" vertical="center"/>
    </xf>
    <xf numFmtId="3" fontId="10" fillId="0" borderId="29" xfId="0" applyNumberFormat="1" applyFont="1" applyBorder="1" applyAlignment="1">
      <alignment horizontal="center" vertical="center"/>
    </xf>
    <xf numFmtId="3" fontId="10" fillId="5" borderId="22" xfId="0" applyNumberFormat="1" applyFont="1" applyFill="1" applyBorder="1" applyAlignment="1">
      <alignment horizontal="center" vertical="center"/>
    </xf>
    <xf numFmtId="3" fontId="10" fillId="5" borderId="23" xfId="0" applyNumberFormat="1" applyFont="1" applyFill="1" applyBorder="1" applyAlignment="1">
      <alignment horizontal="center" vertical="center"/>
    </xf>
    <xf numFmtId="3" fontId="10" fillId="5" borderId="24" xfId="0" applyNumberFormat="1" applyFont="1" applyFill="1" applyBorder="1" applyAlignment="1">
      <alignment horizontal="center" vertical="center"/>
    </xf>
    <xf numFmtId="3" fontId="10" fillId="5" borderId="27" xfId="0" applyNumberFormat="1" applyFont="1" applyFill="1" applyBorder="1" applyAlignment="1">
      <alignment horizontal="center" vertical="center"/>
    </xf>
    <xf numFmtId="165" fontId="10" fillId="5" borderId="16" xfId="0" applyNumberFormat="1" applyFont="1" applyFill="1" applyBorder="1" applyAlignment="1">
      <alignment horizontal="center" vertical="center"/>
    </xf>
    <xf numFmtId="3" fontId="12" fillId="0" borderId="17" xfId="0" applyNumberFormat="1" applyFont="1" applyBorder="1" applyAlignment="1">
      <alignment horizontal="center" vertical="center"/>
    </xf>
    <xf numFmtId="3" fontId="12" fillId="0" borderId="12" xfId="0" applyNumberFormat="1" applyFont="1" applyBorder="1" applyAlignment="1">
      <alignment horizontal="center" vertical="center"/>
    </xf>
    <xf numFmtId="3" fontId="12" fillId="0" borderId="16" xfId="0" applyNumberFormat="1" applyFont="1" applyBorder="1" applyAlignment="1">
      <alignment horizontal="center" vertical="center"/>
    </xf>
    <xf numFmtId="3" fontId="12" fillId="0" borderId="28" xfId="0" applyNumberFormat="1" applyFont="1" applyBorder="1" applyAlignment="1">
      <alignment horizontal="center" vertical="center"/>
    </xf>
    <xf numFmtId="3" fontId="12" fillId="0" borderId="30" xfId="0" applyNumberFormat="1" applyFont="1" applyBorder="1" applyAlignment="1">
      <alignment horizontal="center" vertical="center"/>
    </xf>
    <xf numFmtId="3" fontId="12" fillId="0" borderId="21" xfId="0" applyNumberFormat="1" applyFont="1" applyBorder="1" applyAlignment="1">
      <alignment horizontal="center" vertical="center"/>
    </xf>
    <xf numFmtId="3" fontId="12" fillId="0" borderId="31" xfId="0" applyNumberFormat="1" applyFont="1" applyBorder="1" applyAlignment="1">
      <alignment horizontal="center" vertical="center"/>
    </xf>
    <xf numFmtId="3" fontId="12" fillId="0" borderId="26" xfId="0" applyNumberFormat="1" applyFont="1" applyBorder="1" applyAlignment="1">
      <alignment horizontal="center" vertical="center"/>
    </xf>
    <xf numFmtId="0" fontId="14" fillId="0" borderId="0" xfId="0" applyFont="1"/>
    <xf numFmtId="165" fontId="3" fillId="0" borderId="0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3" fontId="10" fillId="0" borderId="32" xfId="0" applyNumberFormat="1" applyFont="1" applyBorder="1" applyAlignment="1">
      <alignment horizontal="center" vertical="center"/>
    </xf>
    <xf numFmtId="3" fontId="10" fillId="5" borderId="33" xfId="0" applyNumberFormat="1" applyFont="1" applyFill="1" applyBorder="1" applyAlignment="1">
      <alignment horizontal="center" vertical="center"/>
    </xf>
    <xf numFmtId="3" fontId="10" fillId="5" borderId="32" xfId="0" applyNumberFormat="1" applyFont="1" applyFill="1" applyBorder="1" applyAlignment="1">
      <alignment horizontal="center" vertical="center"/>
    </xf>
    <xf numFmtId="3" fontId="10" fillId="5" borderId="34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165" fontId="0" fillId="0" borderId="17" xfId="0" applyNumberFormat="1" applyFont="1" applyBorder="1" applyAlignment="1">
      <alignment horizontal="center" vertical="center"/>
    </xf>
    <xf numFmtId="3" fontId="0" fillId="0" borderId="16" xfId="0" applyNumberFormat="1" applyFont="1" applyBorder="1" applyAlignment="1">
      <alignment horizontal="center" vertical="center"/>
    </xf>
    <xf numFmtId="3" fontId="0" fillId="0" borderId="12" xfId="0" applyNumberFormat="1" applyFont="1" applyBorder="1" applyAlignment="1">
      <alignment horizontal="center" vertical="center"/>
    </xf>
    <xf numFmtId="3" fontId="0" fillId="0" borderId="17" xfId="0" applyNumberFormat="1" applyFont="1" applyBorder="1" applyAlignment="1">
      <alignment horizontal="center" vertical="center"/>
    </xf>
    <xf numFmtId="3" fontId="0" fillId="5" borderId="12" xfId="0" applyNumberFormat="1" applyFont="1" applyFill="1" applyBorder="1" applyAlignment="1">
      <alignment horizontal="center" vertical="center"/>
    </xf>
    <xf numFmtId="3" fontId="0" fillId="5" borderId="16" xfId="0" applyNumberFormat="1" applyFont="1" applyFill="1" applyBorder="1" applyAlignment="1">
      <alignment horizontal="center" vertical="center"/>
    </xf>
    <xf numFmtId="3" fontId="0" fillId="5" borderId="17" xfId="0" applyNumberFormat="1" applyFont="1" applyFill="1" applyBorder="1" applyAlignment="1">
      <alignment horizontal="center" vertical="center"/>
    </xf>
    <xf numFmtId="3" fontId="0" fillId="0" borderId="32" xfId="0" applyNumberFormat="1" applyFont="1" applyBorder="1" applyAlignment="1">
      <alignment horizontal="center" vertical="center"/>
    </xf>
    <xf numFmtId="3" fontId="0" fillId="5" borderId="33" xfId="0" applyNumberFormat="1" applyFont="1" applyFill="1" applyBorder="1" applyAlignment="1">
      <alignment horizontal="center" vertical="center"/>
    </xf>
    <xf numFmtId="3" fontId="0" fillId="5" borderId="32" xfId="0" applyNumberFormat="1" applyFont="1" applyFill="1" applyBorder="1" applyAlignment="1">
      <alignment horizontal="center" vertical="center"/>
    </xf>
    <xf numFmtId="1" fontId="0" fillId="0" borderId="16" xfId="0" applyNumberFormat="1" applyFont="1" applyBorder="1" applyAlignment="1">
      <alignment horizontal="center" vertical="center"/>
    </xf>
    <xf numFmtId="3" fontId="0" fillId="0" borderId="28" xfId="0" applyNumberFormat="1" applyFont="1" applyBorder="1" applyAlignment="1">
      <alignment horizontal="center" vertical="center"/>
    </xf>
    <xf numFmtId="3" fontId="17" fillId="0" borderId="12" xfId="0" applyNumberFormat="1" applyFont="1" applyBorder="1" applyAlignment="1">
      <alignment horizontal="center" vertical="center"/>
    </xf>
    <xf numFmtId="0" fontId="0" fillId="0" borderId="16" xfId="0" applyNumberFormat="1" applyFont="1" applyBorder="1" applyAlignment="1">
      <alignment horizontal="center" vertical="center"/>
    </xf>
    <xf numFmtId="0" fontId="0" fillId="0" borderId="18" xfId="0" applyNumberFormat="1" applyFont="1" applyBorder="1" applyAlignment="1">
      <alignment horizontal="center" vertical="center"/>
    </xf>
    <xf numFmtId="3" fontId="0" fillId="0" borderId="25" xfId="0" applyNumberFormat="1" applyFont="1" applyBorder="1" applyAlignment="1">
      <alignment horizontal="center" vertical="center"/>
    </xf>
    <xf numFmtId="3" fontId="0" fillId="0" borderId="19" xfId="0" applyNumberFormat="1" applyFont="1" applyBorder="1" applyAlignment="1">
      <alignment horizontal="center" vertical="center"/>
    </xf>
    <xf numFmtId="3" fontId="0" fillId="0" borderId="18" xfId="0" applyNumberFormat="1" applyFont="1" applyBorder="1" applyAlignment="1">
      <alignment horizontal="center" vertical="center"/>
    </xf>
    <xf numFmtId="3" fontId="0" fillId="0" borderId="29" xfId="0" applyNumberFormat="1" applyFont="1" applyBorder="1" applyAlignment="1">
      <alignment horizontal="center" vertical="center"/>
    </xf>
    <xf numFmtId="3" fontId="0" fillId="5" borderId="22" xfId="0" applyNumberFormat="1" applyFont="1" applyFill="1" applyBorder="1" applyAlignment="1">
      <alignment horizontal="center" vertical="center"/>
    </xf>
    <xf numFmtId="3" fontId="0" fillId="5" borderId="23" xfId="0" applyNumberFormat="1" applyFont="1" applyFill="1" applyBorder="1" applyAlignment="1">
      <alignment horizontal="center" vertical="center"/>
    </xf>
    <xf numFmtId="3" fontId="0" fillId="5" borderId="24" xfId="0" applyNumberFormat="1" applyFont="1" applyFill="1" applyBorder="1" applyAlignment="1">
      <alignment horizontal="center" vertical="center"/>
    </xf>
    <xf numFmtId="3" fontId="17" fillId="0" borderId="16" xfId="0" applyNumberFormat="1" applyFont="1" applyBorder="1" applyAlignment="1">
      <alignment horizontal="center" vertical="center"/>
    </xf>
    <xf numFmtId="3" fontId="17" fillId="0" borderId="17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0" fillId="0" borderId="22" xfId="0" applyNumberFormat="1" applyFont="1" applyBorder="1" applyAlignment="1">
      <alignment horizontal="center" vertical="center"/>
    </xf>
    <xf numFmtId="3" fontId="0" fillId="0" borderId="23" xfId="0" applyNumberFormat="1" applyFont="1" applyBorder="1" applyAlignment="1">
      <alignment horizontal="center" vertical="center"/>
    </xf>
    <xf numFmtId="3" fontId="0" fillId="0" borderId="24" xfId="0" applyNumberFormat="1" applyFont="1" applyBorder="1" applyAlignment="1">
      <alignment horizontal="center" vertical="center"/>
    </xf>
    <xf numFmtId="3" fontId="0" fillId="0" borderId="22" xfId="0" applyNumberFormat="1" applyFont="1" applyBorder="1" applyAlignment="1">
      <alignment horizontal="center" vertical="center"/>
    </xf>
    <xf numFmtId="3" fontId="0" fillId="0" borderId="27" xfId="0" applyNumberFormat="1" applyFont="1" applyBorder="1" applyAlignment="1">
      <alignment horizontal="center" vertical="center"/>
    </xf>
    <xf numFmtId="165" fontId="18" fillId="0" borderId="17" xfId="0" applyNumberFormat="1" applyFont="1" applyFill="1" applyBorder="1" applyAlignment="1">
      <alignment horizontal="center" vertical="center"/>
    </xf>
    <xf numFmtId="3" fontId="18" fillId="0" borderId="17" xfId="0" applyNumberFormat="1" applyFont="1" applyFill="1" applyBorder="1" applyAlignment="1">
      <alignment horizontal="center" vertical="center"/>
    </xf>
    <xf numFmtId="3" fontId="18" fillId="0" borderId="12" xfId="0" applyNumberFormat="1" applyFont="1" applyFill="1" applyBorder="1" applyAlignment="1">
      <alignment horizontal="center" vertical="center"/>
    </xf>
    <xf numFmtId="3" fontId="18" fillId="0" borderId="16" xfId="0" applyNumberFormat="1" applyFont="1" applyFill="1" applyBorder="1" applyAlignment="1">
      <alignment horizontal="center" vertical="center"/>
    </xf>
    <xf numFmtId="3" fontId="19" fillId="0" borderId="17" xfId="0" applyNumberFormat="1" applyFont="1" applyFill="1" applyBorder="1" applyAlignment="1">
      <alignment horizontal="center" vertical="center"/>
    </xf>
    <xf numFmtId="3" fontId="18" fillId="0" borderId="30" xfId="0" applyNumberFormat="1" applyFont="1" applyFill="1" applyBorder="1" applyAlignment="1">
      <alignment horizontal="center" vertical="center"/>
    </xf>
    <xf numFmtId="3" fontId="18" fillId="0" borderId="21" xfId="0" applyNumberFormat="1" applyFont="1" applyFill="1" applyBorder="1" applyAlignment="1">
      <alignment horizontal="center" vertical="center"/>
    </xf>
    <xf numFmtId="3" fontId="18" fillId="0" borderId="31" xfId="0" applyNumberFormat="1" applyFont="1" applyFill="1" applyBorder="1" applyAlignment="1">
      <alignment horizontal="center" vertical="center"/>
    </xf>
    <xf numFmtId="0" fontId="4" fillId="17" borderId="37" xfId="0" applyFont="1" applyFill="1" applyBorder="1" applyAlignment="1">
      <alignment horizontal="center" vertical="center"/>
    </xf>
    <xf numFmtId="0" fontId="4" fillId="10" borderId="38" xfId="0" applyFont="1" applyFill="1" applyBorder="1" applyAlignment="1">
      <alignment horizontal="center" vertical="center"/>
    </xf>
    <xf numFmtId="0" fontId="9" fillId="16" borderId="39" xfId="0" applyFont="1" applyFill="1" applyBorder="1" applyAlignment="1">
      <alignment horizontal="center" vertical="center"/>
    </xf>
    <xf numFmtId="0" fontId="9" fillId="9" borderId="40" xfId="0" applyFont="1" applyFill="1" applyBorder="1" applyAlignment="1">
      <alignment horizontal="center" vertical="center"/>
    </xf>
    <xf numFmtId="0" fontId="9" fillId="2" borderId="41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vertical="center"/>
    </xf>
    <xf numFmtId="165" fontId="10" fillId="0" borderId="24" xfId="0" applyNumberFormat="1" applyFont="1" applyBorder="1" applyAlignment="1">
      <alignment horizontal="center" vertical="center"/>
    </xf>
    <xf numFmtId="1" fontId="0" fillId="0" borderId="22" xfId="0" applyNumberFormat="1" applyFont="1" applyBorder="1" applyAlignment="1">
      <alignment horizontal="center" vertical="center"/>
    </xf>
    <xf numFmtId="165" fontId="0" fillId="0" borderId="19" xfId="0" applyNumberFormat="1" applyFont="1" applyBorder="1" applyAlignment="1">
      <alignment horizontal="center" vertical="center"/>
    </xf>
    <xf numFmtId="0" fontId="0" fillId="0" borderId="45" xfId="0" applyNumberFormat="1" applyFont="1" applyBorder="1" applyAlignment="1">
      <alignment horizontal="center" vertical="center"/>
    </xf>
    <xf numFmtId="3" fontId="17" fillId="0" borderId="25" xfId="0" applyNumberFormat="1" applyFont="1" applyBorder="1" applyAlignment="1">
      <alignment horizontal="center" vertical="center"/>
    </xf>
    <xf numFmtId="3" fontId="17" fillId="0" borderId="19" xfId="0" applyNumberFormat="1" applyFont="1" applyBorder="1" applyAlignment="1">
      <alignment horizontal="center" vertical="center"/>
    </xf>
    <xf numFmtId="3" fontId="17" fillId="0" borderId="18" xfId="0" applyNumberFormat="1" applyFont="1" applyBorder="1" applyAlignment="1">
      <alignment horizontal="center" vertical="center"/>
    </xf>
    <xf numFmtId="165" fontId="0" fillId="0" borderId="42" xfId="0" applyNumberFormat="1" applyFont="1" applyBorder="1" applyAlignment="1">
      <alignment horizontal="center" vertical="center"/>
    </xf>
    <xf numFmtId="3" fontId="0" fillId="0" borderId="43" xfId="0" applyNumberFormat="1" applyFont="1" applyBorder="1" applyAlignment="1">
      <alignment horizontal="center" vertical="center"/>
    </xf>
    <xf numFmtId="3" fontId="0" fillId="0" borderId="42" xfId="0" applyNumberFormat="1" applyFont="1" applyBorder="1" applyAlignment="1">
      <alignment horizontal="center" vertical="center"/>
    </xf>
    <xf numFmtId="3" fontId="0" fillId="0" borderId="44" xfId="0" applyNumberFormat="1" applyFont="1" applyBorder="1" applyAlignment="1">
      <alignment horizontal="center" vertical="center"/>
    </xf>
    <xf numFmtId="165" fontId="18" fillId="0" borderId="24" xfId="0" applyNumberFormat="1" applyFont="1" applyFill="1" applyBorder="1" applyAlignment="1">
      <alignment horizontal="center" vertical="center"/>
    </xf>
    <xf numFmtId="3" fontId="18" fillId="0" borderId="24" xfId="0" applyNumberFormat="1" applyFont="1" applyFill="1" applyBorder="1" applyAlignment="1">
      <alignment horizontal="center" vertical="center"/>
    </xf>
    <xf numFmtId="3" fontId="18" fillId="0" borderId="23" xfId="0" applyNumberFormat="1" applyFont="1" applyFill="1" applyBorder="1" applyAlignment="1">
      <alignment horizontal="center" vertical="center"/>
    </xf>
    <xf numFmtId="3" fontId="18" fillId="0" borderId="22" xfId="0" applyNumberFormat="1" applyFont="1" applyFill="1" applyBorder="1" applyAlignment="1">
      <alignment horizontal="center" vertical="center"/>
    </xf>
    <xf numFmtId="165" fontId="18" fillId="0" borderId="19" xfId="0" applyNumberFormat="1" applyFont="1" applyFill="1" applyBorder="1" applyAlignment="1">
      <alignment horizontal="center" vertical="center"/>
    </xf>
    <xf numFmtId="3" fontId="18" fillId="0" borderId="19" xfId="0" applyNumberFormat="1" applyFont="1" applyFill="1" applyBorder="1" applyAlignment="1">
      <alignment horizontal="center" vertical="center"/>
    </xf>
    <xf numFmtId="3" fontId="18" fillId="0" borderId="25" xfId="0" applyNumberFormat="1" applyFont="1" applyFill="1" applyBorder="1" applyAlignment="1">
      <alignment horizontal="center" vertical="center"/>
    </xf>
    <xf numFmtId="3" fontId="18" fillId="0" borderId="18" xfId="0" applyNumberFormat="1" applyFont="1" applyFill="1" applyBorder="1" applyAlignment="1">
      <alignment horizontal="center" vertical="center"/>
    </xf>
    <xf numFmtId="165" fontId="0" fillId="0" borderId="24" xfId="0" applyNumberFormat="1" applyFont="1" applyBorder="1" applyAlignment="1">
      <alignment horizontal="center" vertical="center"/>
    </xf>
    <xf numFmtId="1" fontId="0" fillId="0" borderId="18" xfId="0" applyNumberFormat="1" applyFont="1" applyBorder="1" applyAlignment="1">
      <alignment horizontal="center" vertical="center"/>
    </xf>
    <xf numFmtId="3" fontId="0" fillId="5" borderId="19" xfId="0" applyNumberFormat="1" applyFont="1" applyFill="1" applyBorder="1" applyAlignment="1">
      <alignment horizontal="center" vertical="center"/>
    </xf>
    <xf numFmtId="3" fontId="17" fillId="0" borderId="23" xfId="0" applyNumberFormat="1" applyFont="1" applyBorder="1" applyAlignment="1">
      <alignment horizontal="center" vertical="center"/>
    </xf>
    <xf numFmtId="165" fontId="0" fillId="0" borderId="12" xfId="0" applyNumberFormat="1" applyFont="1" applyBorder="1" applyAlignment="1">
      <alignment horizontal="center" vertical="center"/>
    </xf>
    <xf numFmtId="3" fontId="20" fillId="0" borderId="24" xfId="0" applyNumberFormat="1" applyFont="1" applyFill="1" applyBorder="1" applyAlignment="1">
      <alignment horizontal="center" vertical="center"/>
    </xf>
    <xf numFmtId="3" fontId="20" fillId="0" borderId="22" xfId="0" applyNumberFormat="1" applyFont="1" applyFill="1" applyBorder="1" applyAlignment="1">
      <alignment horizontal="center" vertical="center"/>
    </xf>
    <xf numFmtId="3" fontId="20" fillId="0" borderId="23" xfId="0" applyNumberFormat="1" applyFont="1" applyFill="1" applyBorder="1" applyAlignment="1">
      <alignment horizontal="center" vertical="center"/>
    </xf>
    <xf numFmtId="3" fontId="20" fillId="0" borderId="27" xfId="0" applyNumberFormat="1" applyFont="1" applyFill="1" applyBorder="1" applyAlignment="1">
      <alignment horizontal="center" vertical="center"/>
    </xf>
    <xf numFmtId="3" fontId="20" fillId="0" borderId="17" xfId="0" applyNumberFormat="1" applyFont="1" applyFill="1" applyBorder="1" applyAlignment="1">
      <alignment horizontal="center" vertical="center"/>
    </xf>
    <xf numFmtId="3" fontId="20" fillId="0" borderId="16" xfId="0" applyNumberFormat="1" applyFont="1" applyFill="1" applyBorder="1" applyAlignment="1">
      <alignment horizontal="center" vertical="center"/>
    </xf>
    <xf numFmtId="3" fontId="20" fillId="0" borderId="12" xfId="0" applyNumberFormat="1" applyFont="1" applyFill="1" applyBorder="1" applyAlignment="1">
      <alignment horizontal="center" vertical="center"/>
    </xf>
    <xf numFmtId="3" fontId="20" fillId="0" borderId="28" xfId="0" applyNumberFormat="1" applyFont="1" applyFill="1" applyBorder="1" applyAlignment="1">
      <alignment horizontal="center" vertical="center"/>
    </xf>
    <xf numFmtId="3" fontId="20" fillId="0" borderId="30" xfId="0" applyNumberFormat="1" applyFont="1" applyFill="1" applyBorder="1" applyAlignment="1">
      <alignment horizontal="center" vertical="center"/>
    </xf>
    <xf numFmtId="3" fontId="20" fillId="0" borderId="31" xfId="0" applyNumberFormat="1" applyFont="1" applyFill="1" applyBorder="1" applyAlignment="1">
      <alignment horizontal="center" vertical="center"/>
    </xf>
    <xf numFmtId="3" fontId="20" fillId="0" borderId="21" xfId="0" applyNumberFormat="1" applyFont="1" applyFill="1" applyBorder="1" applyAlignment="1">
      <alignment horizontal="center" vertical="center"/>
    </xf>
    <xf numFmtId="3" fontId="20" fillId="0" borderId="26" xfId="0" applyNumberFormat="1" applyFont="1" applyFill="1" applyBorder="1" applyAlignment="1">
      <alignment horizontal="center" vertical="center"/>
    </xf>
    <xf numFmtId="3" fontId="20" fillId="0" borderId="19" xfId="0" applyNumberFormat="1" applyFont="1" applyFill="1" applyBorder="1" applyAlignment="1">
      <alignment horizontal="center" vertical="center"/>
    </xf>
    <xf numFmtId="3" fontId="20" fillId="0" borderId="18" xfId="0" applyNumberFormat="1" applyFont="1" applyFill="1" applyBorder="1" applyAlignment="1">
      <alignment horizontal="center" vertical="center"/>
    </xf>
    <xf numFmtId="3" fontId="20" fillId="0" borderId="25" xfId="0" applyNumberFormat="1" applyFont="1" applyFill="1" applyBorder="1" applyAlignment="1">
      <alignment horizontal="center" vertical="center"/>
    </xf>
    <xf numFmtId="3" fontId="20" fillId="0" borderId="29" xfId="0" applyNumberFormat="1" applyFont="1" applyFill="1" applyBorder="1" applyAlignment="1">
      <alignment horizontal="center" vertical="center"/>
    </xf>
    <xf numFmtId="165" fontId="0" fillId="0" borderId="46" xfId="0" applyNumberFormat="1" applyFont="1" applyBorder="1" applyAlignment="1">
      <alignment horizontal="center" vertical="center"/>
    </xf>
    <xf numFmtId="0" fontId="18" fillId="0" borderId="12" xfId="0" applyFont="1" applyFill="1" applyBorder="1"/>
    <xf numFmtId="0" fontId="0" fillId="0" borderId="0" xfId="0"/>
    <xf numFmtId="0" fontId="3" fillId="0" borderId="1" xfId="0" applyFont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9" fillId="16" borderId="20" xfId="0" applyFont="1" applyFill="1" applyBorder="1" applyAlignment="1">
      <alignment horizontal="center" vertical="center"/>
    </xf>
    <xf numFmtId="0" fontId="9" fillId="9" borderId="21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9" fillId="16" borderId="21" xfId="0" applyFont="1" applyFill="1" applyBorder="1" applyAlignment="1">
      <alignment horizontal="center" vertical="center"/>
    </xf>
    <xf numFmtId="0" fontId="9" fillId="2" borderId="26" xfId="0" applyFont="1" applyFill="1" applyBorder="1" applyAlignment="1">
      <alignment horizontal="center" vertical="center"/>
    </xf>
    <xf numFmtId="3" fontId="0" fillId="0" borderId="0" xfId="0" applyNumberFormat="1"/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6" borderId="6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2" fillId="6" borderId="5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4" fillId="17" borderId="47" xfId="0" applyFont="1" applyFill="1" applyBorder="1" applyAlignment="1">
      <alignment horizontal="center" vertical="center"/>
    </xf>
    <xf numFmtId="165" fontId="10" fillId="0" borderId="46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3" fillId="6" borderId="12" xfId="0" applyFont="1" applyFill="1" applyBorder="1" applyAlignment="1">
      <alignment vertical="center"/>
    </xf>
    <xf numFmtId="3" fontId="3" fillId="6" borderId="12" xfId="0" applyNumberFormat="1" applyFont="1" applyFill="1" applyBorder="1" applyAlignment="1">
      <alignment horizontal="right" vertical="center"/>
    </xf>
    <xf numFmtId="3" fontId="3" fillId="6" borderId="12" xfId="0" applyNumberFormat="1" applyFont="1" applyFill="1" applyBorder="1" applyAlignment="1">
      <alignment horizontal="center" vertical="center"/>
    </xf>
    <xf numFmtId="0" fontId="3" fillId="0" borderId="12" xfId="0" applyFont="1" applyBorder="1" applyAlignment="1">
      <alignment vertical="center"/>
    </xf>
    <xf numFmtId="0" fontId="3" fillId="0" borderId="12" xfId="0" applyFont="1" applyBorder="1" applyAlignment="1">
      <alignment horizontal="right" vertical="center"/>
    </xf>
    <xf numFmtId="3" fontId="3" fillId="0" borderId="12" xfId="0" applyNumberFormat="1" applyFont="1" applyBorder="1" applyAlignment="1">
      <alignment horizontal="center" vertical="center"/>
    </xf>
    <xf numFmtId="3" fontId="16" fillId="0" borderId="12" xfId="0" applyNumberFormat="1" applyFont="1" applyBorder="1" applyAlignment="1">
      <alignment horizontal="center" vertical="center"/>
    </xf>
    <xf numFmtId="0" fontId="3" fillId="6" borderId="12" xfId="0" applyFont="1" applyFill="1" applyBorder="1" applyAlignment="1">
      <alignment horizontal="right" vertical="center"/>
    </xf>
    <xf numFmtId="3" fontId="16" fillId="6" borderId="12" xfId="0" applyNumberFormat="1" applyFont="1" applyFill="1" applyBorder="1" applyAlignment="1">
      <alignment horizontal="center" vertical="center"/>
    </xf>
    <xf numFmtId="166" fontId="3" fillId="6" borderId="12" xfId="2" applyNumberFormat="1" applyFont="1" applyFill="1" applyBorder="1" applyAlignment="1">
      <alignment horizontal="right" vertical="center"/>
    </xf>
    <xf numFmtId="166" fontId="3" fillId="0" borderId="12" xfId="2" applyNumberFormat="1" applyFont="1" applyBorder="1" applyAlignment="1">
      <alignment horizontal="right" vertical="center"/>
    </xf>
    <xf numFmtId="0" fontId="3" fillId="5" borderId="12" xfId="0" applyFont="1" applyFill="1" applyBorder="1" applyAlignment="1">
      <alignment vertical="center"/>
    </xf>
    <xf numFmtId="0" fontId="3" fillId="5" borderId="12" xfId="0" applyFont="1" applyFill="1" applyBorder="1" applyAlignment="1">
      <alignment horizontal="right" vertical="center"/>
    </xf>
    <xf numFmtId="3" fontId="3" fillId="5" borderId="12" xfId="0" applyNumberFormat="1" applyFont="1" applyFill="1" applyBorder="1" applyAlignment="1">
      <alignment horizontal="center" vertical="center"/>
    </xf>
    <xf numFmtId="1" fontId="0" fillId="0" borderId="35" xfId="0" applyNumberFormat="1" applyFont="1" applyBorder="1" applyAlignment="1">
      <alignment horizontal="center" vertical="center"/>
    </xf>
    <xf numFmtId="3" fontId="18" fillId="0" borderId="27" xfId="0" applyNumberFormat="1" applyFont="1" applyFill="1" applyBorder="1" applyAlignment="1">
      <alignment horizontal="center" vertical="center"/>
    </xf>
    <xf numFmtId="3" fontId="18" fillId="0" borderId="28" xfId="0" applyNumberFormat="1" applyFont="1" applyFill="1" applyBorder="1" applyAlignment="1">
      <alignment horizontal="center" vertical="center"/>
    </xf>
    <xf numFmtId="3" fontId="18" fillId="0" borderId="26" xfId="0" applyNumberFormat="1" applyFont="1" applyFill="1" applyBorder="1" applyAlignment="1">
      <alignment horizontal="center" vertical="center"/>
    </xf>
    <xf numFmtId="3" fontId="18" fillId="0" borderId="29" xfId="0" applyNumberFormat="1" applyFont="1" applyFill="1" applyBorder="1" applyAlignment="1">
      <alignment horizontal="center" vertical="center"/>
    </xf>
    <xf numFmtId="3" fontId="0" fillId="0" borderId="48" xfId="0" applyNumberFormat="1" applyFont="1" applyBorder="1" applyAlignment="1">
      <alignment horizontal="center" vertical="center"/>
    </xf>
    <xf numFmtId="3" fontId="0" fillId="5" borderId="28" xfId="0" applyNumberFormat="1" applyFont="1" applyFill="1" applyBorder="1" applyAlignment="1">
      <alignment horizontal="center" vertical="center"/>
    </xf>
    <xf numFmtId="9" fontId="5" fillId="0" borderId="12" xfId="0" applyNumberFormat="1" applyFont="1" applyFill="1" applyBorder="1" applyAlignment="1" applyProtection="1">
      <alignment horizontal="center"/>
      <protection locked="0"/>
    </xf>
    <xf numFmtId="9" fontId="4" fillId="0" borderId="12" xfId="0" applyNumberFormat="1" applyFont="1" applyFill="1" applyBorder="1" applyAlignment="1">
      <alignment horizontal="center" vertical="center"/>
    </xf>
    <xf numFmtId="3" fontId="3" fillId="3" borderId="12" xfId="0" applyNumberFormat="1" applyFont="1" applyFill="1" applyBorder="1" applyAlignment="1">
      <alignment horizontal="center" vertical="center"/>
    </xf>
    <xf numFmtId="165" fontId="10" fillId="0" borderId="27" xfId="0" applyNumberFormat="1" applyFont="1" applyBorder="1" applyAlignment="1">
      <alignment horizontal="center" vertical="center"/>
    </xf>
    <xf numFmtId="165" fontId="0" fillId="0" borderId="28" xfId="0" applyNumberFormat="1" applyFont="1" applyBorder="1" applyAlignment="1">
      <alignment horizontal="center" vertical="center"/>
    </xf>
    <xf numFmtId="165" fontId="0" fillId="0" borderId="29" xfId="0" applyNumberFormat="1" applyFont="1" applyBorder="1" applyAlignment="1">
      <alignment horizontal="center" vertical="center"/>
    </xf>
    <xf numFmtId="1" fontId="0" fillId="0" borderId="49" xfId="0" applyNumberFormat="1" applyFont="1" applyBorder="1" applyAlignment="1">
      <alignment horizontal="center" vertical="center"/>
    </xf>
    <xf numFmtId="3" fontId="17" fillId="0" borderId="47" xfId="0" applyNumberFormat="1" applyFont="1" applyBorder="1" applyAlignment="1">
      <alignment horizontal="center" vertical="center"/>
    </xf>
    <xf numFmtId="3" fontId="0" fillId="0" borderId="47" xfId="0" applyNumberFormat="1" applyFont="1" applyBorder="1" applyAlignment="1">
      <alignment horizontal="center" vertical="center"/>
    </xf>
    <xf numFmtId="3" fontId="17" fillId="0" borderId="50" xfId="0" applyNumberFormat="1" applyFont="1" applyBorder="1" applyAlignment="1">
      <alignment horizontal="center" vertical="center"/>
    </xf>
    <xf numFmtId="3" fontId="20" fillId="0" borderId="42" xfId="0" applyNumberFormat="1" applyFont="1" applyFill="1" applyBorder="1" applyAlignment="1">
      <alignment horizontal="center" vertical="center"/>
    </xf>
    <xf numFmtId="1" fontId="0" fillId="0" borderId="23" xfId="0" applyNumberFormat="1" applyFont="1" applyBorder="1" applyAlignment="1">
      <alignment horizontal="center" vertical="center"/>
    </xf>
    <xf numFmtId="1" fontId="0" fillId="0" borderId="24" xfId="0" applyNumberFormat="1" applyFont="1" applyBorder="1" applyAlignment="1">
      <alignment horizontal="center" vertical="center"/>
    </xf>
    <xf numFmtId="165" fontId="18" fillId="0" borderId="27" xfId="0" applyNumberFormat="1" applyFont="1" applyFill="1" applyBorder="1" applyAlignment="1">
      <alignment horizontal="center" vertical="center"/>
    </xf>
    <xf numFmtId="165" fontId="18" fillId="0" borderId="28" xfId="0" applyNumberFormat="1" applyFont="1" applyFill="1" applyBorder="1" applyAlignment="1">
      <alignment horizontal="center" vertical="center"/>
    </xf>
    <xf numFmtId="165" fontId="18" fillId="0" borderId="29" xfId="0" applyNumberFormat="1" applyFont="1" applyFill="1" applyBorder="1" applyAlignment="1">
      <alignment horizontal="center" vertical="center"/>
    </xf>
    <xf numFmtId="3" fontId="20" fillId="0" borderId="49" xfId="0" applyNumberFormat="1" applyFont="1" applyFill="1" applyBorder="1" applyAlignment="1">
      <alignment horizontal="center" vertical="center"/>
    </xf>
    <xf numFmtId="3" fontId="20" fillId="0" borderId="47" xfId="0" applyNumberFormat="1" applyFont="1" applyFill="1" applyBorder="1" applyAlignment="1">
      <alignment horizontal="center" vertical="center"/>
    </xf>
    <xf numFmtId="3" fontId="20" fillId="0" borderId="20" xfId="0" applyNumberFormat="1" applyFont="1" applyFill="1" applyBorder="1" applyAlignment="1">
      <alignment horizontal="center" vertical="center"/>
    </xf>
    <xf numFmtId="3" fontId="20" fillId="0" borderId="50" xfId="0" applyNumberFormat="1" applyFont="1" applyFill="1" applyBorder="1" applyAlignment="1">
      <alignment horizontal="center" vertical="center"/>
    </xf>
    <xf numFmtId="0" fontId="0" fillId="0" borderId="37" xfId="0" applyNumberFormat="1" applyFont="1" applyBorder="1" applyAlignment="1">
      <alignment horizontal="center" vertical="center"/>
    </xf>
    <xf numFmtId="3" fontId="17" fillId="0" borderId="51" xfId="0" applyNumberFormat="1" applyFont="1" applyBorder="1" applyAlignment="1">
      <alignment horizontal="center" vertical="center"/>
    </xf>
    <xf numFmtId="3" fontId="17" fillId="0" borderId="38" xfId="0" applyNumberFormat="1" applyFont="1" applyBorder="1" applyAlignment="1">
      <alignment horizontal="center" vertical="center"/>
    </xf>
    <xf numFmtId="1" fontId="0" fillId="0" borderId="44" xfId="0" applyNumberFormat="1" applyFont="1" applyBorder="1" applyAlignment="1">
      <alignment horizontal="center" vertical="center"/>
    </xf>
    <xf numFmtId="3" fontId="17" fillId="0" borderId="49" xfId="0" applyNumberFormat="1" applyFont="1" applyBorder="1" applyAlignment="1">
      <alignment horizontal="center" vertical="center"/>
    </xf>
    <xf numFmtId="3" fontId="17" fillId="0" borderId="22" xfId="0" applyNumberFormat="1" applyFont="1" applyBorder="1" applyAlignment="1">
      <alignment horizontal="center" vertical="center"/>
    </xf>
    <xf numFmtId="165" fontId="0" fillId="0" borderId="38" xfId="0" applyNumberFormat="1" applyFont="1" applyBorder="1" applyAlignment="1">
      <alignment horizontal="center" vertical="center"/>
    </xf>
    <xf numFmtId="165" fontId="0" fillId="0" borderId="22" xfId="0" applyNumberFormat="1" applyFont="1" applyBorder="1" applyAlignment="1">
      <alignment horizontal="center" vertical="center"/>
    </xf>
    <xf numFmtId="165" fontId="0" fillId="0" borderId="16" xfId="0" applyNumberFormat="1" applyFont="1" applyBorder="1" applyAlignment="1">
      <alignment horizontal="center" vertical="center"/>
    </xf>
    <xf numFmtId="165" fontId="0" fillId="0" borderId="18" xfId="0" applyNumberFormat="1" applyFont="1" applyBorder="1" applyAlignment="1">
      <alignment horizontal="center" vertical="center"/>
    </xf>
    <xf numFmtId="165" fontId="0" fillId="0" borderId="27" xfId="0" applyNumberFormat="1" applyFont="1" applyBorder="1" applyAlignment="1">
      <alignment horizontal="center" vertical="center"/>
    </xf>
    <xf numFmtId="3" fontId="0" fillId="0" borderId="51" xfId="0" applyNumberFormat="1" applyFont="1" applyBorder="1" applyAlignment="1">
      <alignment horizontal="center" vertical="center"/>
    </xf>
    <xf numFmtId="3" fontId="0" fillId="0" borderId="38" xfId="0" applyNumberFormat="1" applyFont="1" applyBorder="1" applyAlignment="1">
      <alignment horizontal="center" vertical="center"/>
    </xf>
    <xf numFmtId="0" fontId="0" fillId="0" borderId="44" xfId="0" applyNumberFormat="1" applyFont="1" applyBorder="1" applyAlignment="1">
      <alignment horizontal="center" vertical="center"/>
    </xf>
    <xf numFmtId="3" fontId="0" fillId="5" borderId="25" xfId="0" applyNumberFormat="1" applyFont="1" applyFill="1" applyBorder="1" applyAlignment="1">
      <alignment horizontal="center" vertical="center"/>
    </xf>
    <xf numFmtId="3" fontId="0" fillId="5" borderId="18" xfId="0" applyNumberFormat="1" applyFont="1" applyFill="1" applyBorder="1" applyAlignment="1">
      <alignment horizontal="center" vertical="center"/>
    </xf>
    <xf numFmtId="3" fontId="3" fillId="3" borderId="47" xfId="0" applyNumberFormat="1" applyFont="1" applyFill="1" applyBorder="1" applyAlignment="1">
      <alignment horizontal="center" vertical="center"/>
    </xf>
    <xf numFmtId="3" fontId="0" fillId="5" borderId="37" xfId="0" applyNumberFormat="1" applyFont="1" applyFill="1" applyBorder="1" applyAlignment="1">
      <alignment horizontal="center" vertical="center"/>
    </xf>
    <xf numFmtId="3" fontId="0" fillId="5" borderId="51" xfId="0" applyNumberFormat="1" applyFont="1" applyFill="1" applyBorder="1" applyAlignment="1">
      <alignment horizontal="center" vertical="center"/>
    </xf>
    <xf numFmtId="3" fontId="0" fillId="0" borderId="49" xfId="0" applyNumberFormat="1" applyFont="1" applyBorder="1" applyAlignment="1">
      <alignment horizontal="center" vertical="center"/>
    </xf>
    <xf numFmtId="3" fontId="0" fillId="0" borderId="50" xfId="0" applyNumberFormat="1" applyFont="1" applyBorder="1" applyAlignment="1">
      <alignment horizontal="center" vertical="center"/>
    </xf>
    <xf numFmtId="165" fontId="0" fillId="0" borderId="37" xfId="0" applyNumberFormat="1" applyFont="1" applyBorder="1" applyAlignment="1">
      <alignment horizontal="center" vertical="center"/>
    </xf>
    <xf numFmtId="165" fontId="0" fillId="0" borderId="52" xfId="0" applyNumberFormat="1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3" fontId="3" fillId="0" borderId="28" xfId="0" applyNumberFormat="1" applyFont="1" applyBorder="1" applyAlignment="1">
      <alignment horizontal="center" vertical="center"/>
    </xf>
    <xf numFmtId="3" fontId="16" fillId="0" borderId="28" xfId="0" applyNumberFormat="1" applyFont="1" applyBorder="1" applyAlignment="1">
      <alignment horizontal="center" vertical="center"/>
    </xf>
    <xf numFmtId="3" fontId="3" fillId="5" borderId="28" xfId="0" applyNumberFormat="1" applyFont="1" applyFill="1" applyBorder="1" applyAlignment="1">
      <alignment horizontal="center" vertical="center"/>
    </xf>
    <xf numFmtId="3" fontId="18" fillId="0" borderId="44" xfId="0" applyNumberFormat="1" applyFont="1" applyFill="1" applyBorder="1" applyAlignment="1">
      <alignment horizontal="center" vertical="center"/>
    </xf>
    <xf numFmtId="0" fontId="3" fillId="0" borderId="43" xfId="0" applyFont="1" applyBorder="1" applyAlignment="1">
      <alignment horizontal="right" vertical="center"/>
    </xf>
    <xf numFmtId="3" fontId="3" fillId="0" borderId="48" xfId="0" applyNumberFormat="1" applyFont="1" applyBorder="1" applyAlignment="1">
      <alignment horizontal="center" vertical="center"/>
    </xf>
    <xf numFmtId="0" fontId="3" fillId="6" borderId="13" xfId="0" applyFont="1" applyFill="1" applyBorder="1" applyAlignment="1">
      <alignment vertical="center"/>
    </xf>
    <xf numFmtId="3" fontId="3" fillId="6" borderId="53" xfId="0" applyNumberFormat="1" applyFont="1" applyFill="1" applyBorder="1" applyAlignment="1">
      <alignment horizontal="right" vertical="center"/>
    </xf>
    <xf numFmtId="3" fontId="3" fillId="6" borderId="54" xfId="0" applyNumberFormat="1" applyFont="1" applyFill="1" applyBorder="1" applyAlignment="1">
      <alignment horizontal="center" vertical="center"/>
    </xf>
    <xf numFmtId="0" fontId="3" fillId="0" borderId="51" xfId="0" applyFont="1" applyBorder="1" applyAlignment="1">
      <alignment horizontal="right" vertical="center"/>
    </xf>
    <xf numFmtId="3" fontId="3" fillId="0" borderId="52" xfId="0" applyNumberFormat="1" applyFont="1" applyBorder="1" applyAlignment="1">
      <alignment horizontal="center" vertical="center"/>
    </xf>
    <xf numFmtId="3" fontId="16" fillId="0" borderId="48" xfId="0" applyNumberFormat="1" applyFont="1" applyBorder="1" applyAlignment="1">
      <alignment horizontal="center" vertical="center"/>
    </xf>
    <xf numFmtId="3" fontId="18" fillId="0" borderId="37" xfId="0" applyNumberFormat="1" applyFont="1" applyFill="1" applyBorder="1" applyAlignment="1">
      <alignment horizontal="center" vertical="center"/>
    </xf>
    <xf numFmtId="3" fontId="20" fillId="0" borderId="38" xfId="0" applyNumberFormat="1" applyFont="1" applyFill="1" applyBorder="1" applyAlignment="1">
      <alignment horizontal="center" vertical="center"/>
    </xf>
    <xf numFmtId="3" fontId="17" fillId="0" borderId="44" xfId="0" applyNumberFormat="1" applyFont="1" applyBorder="1" applyAlignment="1">
      <alignment horizontal="center" vertical="center"/>
    </xf>
    <xf numFmtId="3" fontId="17" fillId="0" borderId="42" xfId="0" applyNumberFormat="1" applyFont="1" applyBorder="1" applyAlignment="1">
      <alignment horizontal="center" vertical="center"/>
    </xf>
    <xf numFmtId="1" fontId="0" fillId="6" borderId="45" xfId="0" applyNumberFormat="1" applyFont="1" applyFill="1" applyBorder="1" applyAlignment="1">
      <alignment horizontal="center" vertical="center"/>
    </xf>
    <xf numFmtId="1" fontId="0" fillId="6" borderId="54" xfId="0" applyNumberFormat="1" applyFont="1" applyFill="1" applyBorder="1" applyAlignment="1">
      <alignment horizontal="center" vertical="center"/>
    </xf>
    <xf numFmtId="3" fontId="18" fillId="6" borderId="45" xfId="0" applyNumberFormat="1" applyFont="1" applyFill="1" applyBorder="1" applyAlignment="1">
      <alignment horizontal="center" vertical="center"/>
    </xf>
    <xf numFmtId="3" fontId="20" fillId="6" borderId="54" xfId="0" applyNumberFormat="1" applyFont="1" applyFill="1" applyBorder="1" applyAlignment="1">
      <alignment horizontal="center" vertical="center"/>
    </xf>
    <xf numFmtId="3" fontId="0" fillId="6" borderId="54" xfId="0" applyNumberFormat="1" applyFont="1" applyFill="1" applyBorder="1" applyAlignment="1">
      <alignment horizontal="center" vertical="center"/>
    </xf>
    <xf numFmtId="3" fontId="17" fillId="6" borderId="45" xfId="0" applyNumberFormat="1" applyFont="1" applyFill="1" applyBorder="1" applyAlignment="1">
      <alignment horizontal="center" vertical="center"/>
    </xf>
    <xf numFmtId="1" fontId="0" fillId="0" borderId="37" xfId="0" applyNumberFormat="1" applyFont="1" applyBorder="1" applyAlignment="1">
      <alignment horizontal="center" vertical="center"/>
    </xf>
    <xf numFmtId="0" fontId="3" fillId="6" borderId="53" xfId="0" applyFont="1" applyFill="1" applyBorder="1" applyAlignment="1">
      <alignment horizontal="right" vertical="center"/>
    </xf>
    <xf numFmtId="3" fontId="3" fillId="6" borderId="55" xfId="0" applyNumberFormat="1" applyFont="1" applyFill="1" applyBorder="1" applyAlignment="1">
      <alignment horizontal="center" vertical="center"/>
    </xf>
    <xf numFmtId="3" fontId="16" fillId="0" borderId="52" xfId="0" applyNumberFormat="1" applyFont="1" applyBorder="1" applyAlignment="1">
      <alignment horizontal="center" vertical="center"/>
    </xf>
    <xf numFmtId="3" fontId="16" fillId="6" borderId="55" xfId="0" applyNumberFormat="1" applyFont="1" applyFill="1" applyBorder="1" applyAlignment="1">
      <alignment horizontal="center" vertical="center"/>
    </xf>
    <xf numFmtId="3" fontId="17" fillId="0" borderId="37" xfId="0" applyNumberFormat="1" applyFont="1" applyBorder="1" applyAlignment="1">
      <alignment horizontal="center" vertical="center"/>
    </xf>
    <xf numFmtId="166" fontId="3" fillId="0" borderId="43" xfId="2" applyNumberFormat="1" applyFont="1" applyBorder="1" applyAlignment="1">
      <alignment horizontal="right" vertical="center"/>
    </xf>
    <xf numFmtId="166" fontId="3" fillId="6" borderId="53" xfId="2" applyNumberFormat="1" applyFont="1" applyFill="1" applyBorder="1" applyAlignment="1">
      <alignment horizontal="right" vertical="center"/>
    </xf>
    <xf numFmtId="0" fontId="0" fillId="6" borderId="45" xfId="0" applyNumberFormat="1" applyFont="1" applyFill="1" applyBorder="1" applyAlignment="1">
      <alignment horizontal="center" vertical="center"/>
    </xf>
    <xf numFmtId="166" fontId="3" fillId="0" borderId="51" xfId="2" applyNumberFormat="1" applyFont="1" applyBorder="1" applyAlignment="1">
      <alignment horizontal="right" vertical="center"/>
    </xf>
    <xf numFmtId="3" fontId="0" fillId="6" borderId="45" xfId="0" applyNumberFormat="1" applyFont="1" applyFill="1" applyBorder="1" applyAlignment="1">
      <alignment horizontal="center" vertical="center"/>
    </xf>
    <xf numFmtId="3" fontId="0" fillId="0" borderId="37" xfId="0" applyNumberFormat="1" applyFont="1" applyBorder="1" applyAlignment="1">
      <alignment horizontal="center" vertical="center"/>
    </xf>
    <xf numFmtId="0" fontId="3" fillId="5" borderId="51" xfId="0" applyFont="1" applyFill="1" applyBorder="1" applyAlignment="1">
      <alignment horizontal="right" vertical="center"/>
    </xf>
    <xf numFmtId="3" fontId="3" fillId="5" borderId="52" xfId="0" applyNumberFormat="1" applyFont="1" applyFill="1" applyBorder="1" applyAlignment="1">
      <alignment horizontal="center" vertical="center"/>
    </xf>
    <xf numFmtId="9" fontId="8" fillId="0" borderId="0" xfId="3" applyFont="1" applyBorder="1" applyAlignment="1">
      <alignment horizontal="center" vertical="center"/>
    </xf>
    <xf numFmtId="9" fontId="8" fillId="0" borderId="2" xfId="3" applyFont="1" applyBorder="1" applyAlignment="1">
      <alignment horizontal="center" vertical="center"/>
    </xf>
    <xf numFmtId="3" fontId="11" fillId="0" borderId="12" xfId="0" applyNumberFormat="1" applyFont="1" applyBorder="1" applyAlignment="1">
      <alignment horizontal="center" vertical="center"/>
    </xf>
    <xf numFmtId="3" fontId="10" fillId="0" borderId="12" xfId="0" applyNumberFormat="1" applyFont="1" applyBorder="1" applyAlignment="1">
      <alignment horizontal="center" vertical="center"/>
    </xf>
    <xf numFmtId="3" fontId="11" fillId="0" borderId="17" xfId="0" applyNumberFormat="1" applyFont="1" applyBorder="1" applyAlignment="1">
      <alignment horizontal="center" vertical="center"/>
    </xf>
    <xf numFmtId="3" fontId="11" fillId="0" borderId="16" xfId="0" applyNumberFormat="1" applyFont="1" applyBorder="1" applyAlignment="1">
      <alignment horizontal="center" vertical="center"/>
    </xf>
    <xf numFmtId="3" fontId="10" fillId="0" borderId="28" xfId="0" applyNumberFormat="1" applyFont="1" applyBorder="1" applyAlignment="1">
      <alignment horizontal="center" vertical="center"/>
    </xf>
    <xf numFmtId="3" fontId="10" fillId="0" borderId="16" xfId="0" applyNumberFormat="1" applyFont="1" applyBorder="1" applyAlignment="1">
      <alignment horizontal="center" vertical="center"/>
    </xf>
    <xf numFmtId="3" fontId="10" fillId="0" borderId="17" xfId="0" applyNumberFormat="1" applyFont="1" applyBorder="1" applyAlignment="1">
      <alignment horizontal="center" vertical="center"/>
    </xf>
    <xf numFmtId="3" fontId="10" fillId="5" borderId="12" xfId="0" applyNumberFormat="1" applyFont="1" applyFill="1" applyBorder="1" applyAlignment="1">
      <alignment horizontal="center" vertical="center"/>
    </xf>
    <xf numFmtId="3" fontId="10" fillId="5" borderId="17" xfId="0" applyNumberFormat="1" applyFont="1" applyFill="1" applyBorder="1" applyAlignment="1">
      <alignment horizontal="center" vertical="center"/>
    </xf>
    <xf numFmtId="3" fontId="10" fillId="5" borderId="16" xfId="0" applyNumberFormat="1" applyFont="1" applyFill="1" applyBorder="1" applyAlignment="1">
      <alignment horizontal="center" vertical="center"/>
    </xf>
    <xf numFmtId="3" fontId="10" fillId="5" borderId="22" xfId="0" applyNumberFormat="1" applyFont="1" applyFill="1" applyBorder="1" applyAlignment="1">
      <alignment horizontal="center" vertical="center"/>
    </xf>
    <xf numFmtId="3" fontId="10" fillId="5" borderId="23" xfId="0" applyNumberFormat="1" applyFont="1" applyFill="1" applyBorder="1" applyAlignment="1">
      <alignment horizontal="center" vertical="center"/>
    </xf>
    <xf numFmtId="3" fontId="10" fillId="5" borderId="24" xfId="0" applyNumberFormat="1" applyFont="1" applyFill="1" applyBorder="1" applyAlignment="1">
      <alignment horizontal="center" vertical="center"/>
    </xf>
    <xf numFmtId="3" fontId="10" fillId="5" borderId="27" xfId="0" applyNumberFormat="1" applyFont="1" applyFill="1" applyBorder="1" applyAlignment="1">
      <alignment horizontal="center" vertical="center"/>
    </xf>
    <xf numFmtId="3" fontId="23" fillId="0" borderId="42" xfId="0" applyNumberFormat="1" applyFont="1" applyBorder="1" applyAlignment="1">
      <alignment horizontal="center" vertical="center"/>
    </xf>
    <xf numFmtId="3" fontId="23" fillId="0" borderId="17" xfId="0" applyNumberFormat="1" applyFont="1" applyBorder="1" applyAlignment="1">
      <alignment horizontal="center" vertical="center"/>
    </xf>
    <xf numFmtId="3" fontId="23" fillId="5" borderId="17" xfId="0" applyNumberFormat="1" applyFont="1" applyFill="1" applyBorder="1" applyAlignment="1">
      <alignment horizontal="center" vertical="center"/>
    </xf>
    <xf numFmtId="167" fontId="8" fillId="0" borderId="0" xfId="0" applyNumberFormat="1" applyFont="1" applyBorder="1" applyAlignment="1">
      <alignment horizontal="center" vertical="center"/>
    </xf>
    <xf numFmtId="1" fontId="23" fillId="0" borderId="22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12" xfId="0" applyBorder="1"/>
    <xf numFmtId="0" fontId="25" fillId="19" borderId="12" xfId="4" applyFont="1" applyFill="1" applyBorder="1" applyAlignment="1">
      <alignment horizontal="centerContinuous"/>
    </xf>
    <xf numFmtId="0" fontId="26" fillId="19" borderId="12" xfId="4" applyFont="1" applyFill="1" applyBorder="1" applyAlignment="1">
      <alignment horizontal="centerContinuous"/>
    </xf>
    <xf numFmtId="0" fontId="26" fillId="19" borderId="12" xfId="4" applyFont="1" applyFill="1" applyBorder="1" applyAlignment="1">
      <alignment horizontal="center"/>
    </xf>
    <xf numFmtId="3" fontId="0" fillId="0" borderId="12" xfId="0" applyNumberFormat="1" applyBorder="1"/>
    <xf numFmtId="0" fontId="25" fillId="20" borderId="12" xfId="4" applyFont="1" applyFill="1" applyBorder="1" applyAlignment="1">
      <alignment horizontal="centerContinuous"/>
    </xf>
    <xf numFmtId="0" fontId="26" fillId="20" borderId="12" xfId="4" applyFont="1" applyFill="1" applyBorder="1" applyAlignment="1">
      <alignment horizontal="centerContinuous"/>
    </xf>
    <xf numFmtId="0" fontId="26" fillId="20" borderId="12" xfId="4" applyFont="1" applyFill="1" applyBorder="1" applyAlignment="1">
      <alignment horizontal="center"/>
    </xf>
    <xf numFmtId="0" fontId="25" fillId="15" borderId="12" xfId="4" applyFont="1" applyFill="1" applyBorder="1" applyAlignment="1">
      <alignment horizontal="centerContinuous"/>
    </xf>
    <xf numFmtId="0" fontId="26" fillId="15" borderId="12" xfId="4" applyFont="1" applyFill="1" applyBorder="1" applyAlignment="1">
      <alignment horizontal="centerContinuous"/>
    </xf>
    <xf numFmtId="0" fontId="26" fillId="15" borderId="12" xfId="4" applyFont="1" applyFill="1" applyBorder="1" applyAlignment="1">
      <alignment horizontal="center"/>
    </xf>
    <xf numFmtId="1" fontId="0" fillId="0" borderId="12" xfId="0" applyNumberFormat="1" applyBorder="1"/>
    <xf numFmtId="0" fontId="0" fillId="6" borderId="12" xfId="0" applyFont="1" applyFill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0" fillId="5" borderId="12" xfId="0" applyFont="1" applyFill="1" applyBorder="1" applyAlignment="1">
      <alignment vertical="center"/>
    </xf>
    <xf numFmtId="0" fontId="8" fillId="6" borderId="12" xfId="0" applyFont="1" applyFill="1" applyBorder="1" applyAlignment="1">
      <alignment vertical="center"/>
    </xf>
    <xf numFmtId="0" fontId="2" fillId="0" borderId="28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3" fontId="17" fillId="0" borderId="56" xfId="0" applyNumberFormat="1" applyFont="1" applyBorder="1" applyAlignment="1">
      <alignment horizontal="center" vertical="center"/>
    </xf>
    <xf numFmtId="3" fontId="0" fillId="0" borderId="52" xfId="0" applyNumberFormat="1" applyFont="1" applyBorder="1" applyAlignment="1">
      <alignment horizontal="center" vertical="center"/>
    </xf>
    <xf numFmtId="3" fontId="0" fillId="5" borderId="43" xfId="0" applyNumberFormat="1" applyFont="1" applyFill="1" applyBorder="1" applyAlignment="1">
      <alignment horizontal="center" vertical="center"/>
    </xf>
    <xf numFmtId="3" fontId="0" fillId="5" borderId="42" xfId="0" applyNumberFormat="1" applyFont="1" applyFill="1" applyBorder="1" applyAlignment="1">
      <alignment horizontal="center" vertical="center"/>
    </xf>
    <xf numFmtId="3" fontId="0" fillId="5" borderId="44" xfId="0" applyNumberFormat="1" applyFont="1" applyFill="1" applyBorder="1" applyAlignment="1">
      <alignment horizontal="center" vertical="center"/>
    </xf>
    <xf numFmtId="3" fontId="19" fillId="0" borderId="12" xfId="0" applyNumberFormat="1" applyFont="1" applyFill="1" applyBorder="1" applyAlignment="1">
      <alignment horizontal="center" vertical="center"/>
    </xf>
    <xf numFmtId="0" fontId="28" fillId="21" borderId="57" xfId="0" applyFont="1" applyFill="1" applyBorder="1" applyAlignment="1">
      <alignment horizontal="center" wrapText="1" readingOrder="1"/>
    </xf>
    <xf numFmtId="0" fontId="29" fillId="22" borderId="58" xfId="0" applyFont="1" applyFill="1" applyBorder="1" applyAlignment="1">
      <alignment horizontal="left" wrapText="1" readingOrder="1"/>
    </xf>
    <xf numFmtId="9" fontId="30" fillId="0" borderId="58" xfId="0" applyNumberFormat="1" applyFont="1" applyBorder="1" applyAlignment="1">
      <alignment horizontal="center" wrapText="1" readingOrder="1"/>
    </xf>
    <xf numFmtId="0" fontId="35" fillId="0" borderId="58" xfId="0" applyFont="1" applyBorder="1" applyAlignment="1">
      <alignment horizontal="left" wrapText="1" readingOrder="1"/>
    </xf>
    <xf numFmtId="166" fontId="35" fillId="0" borderId="58" xfId="2" applyNumberFormat="1" applyFont="1" applyBorder="1" applyAlignment="1">
      <alignment horizontal="left" wrapText="1" readingOrder="1"/>
    </xf>
    <xf numFmtId="0" fontId="31" fillId="21" borderId="12" xfId="0" applyFont="1" applyFill="1" applyBorder="1" applyAlignment="1">
      <alignment horizontal="left" wrapText="1" readingOrder="1"/>
    </xf>
    <xf numFmtId="0" fontId="32" fillId="21" borderId="12" xfId="0" applyFont="1" applyFill="1" applyBorder="1" applyAlignment="1">
      <alignment horizontal="center" wrapText="1" readingOrder="1"/>
    </xf>
    <xf numFmtId="0" fontId="33" fillId="22" borderId="12" xfId="0" applyFont="1" applyFill="1" applyBorder="1" applyAlignment="1">
      <alignment horizontal="left" wrapText="1" readingOrder="1"/>
    </xf>
    <xf numFmtId="0" fontId="35" fillId="0" borderId="12" xfId="0" applyFont="1" applyBorder="1" applyAlignment="1">
      <alignment horizontal="left" wrapText="1" readingOrder="1"/>
    </xf>
    <xf numFmtId="166" fontId="35" fillId="0" borderId="12" xfId="2" applyNumberFormat="1" applyFont="1" applyBorder="1" applyAlignment="1">
      <alignment horizontal="left" wrapText="1" readingOrder="1"/>
    </xf>
    <xf numFmtId="9" fontId="34" fillId="0" borderId="12" xfId="0" applyNumberFormat="1" applyFont="1" applyBorder="1" applyAlignment="1">
      <alignment horizontal="center" wrapText="1" readingOrder="1"/>
    </xf>
    <xf numFmtId="0" fontId="27" fillId="21" borderId="59" xfId="0" applyFont="1" applyFill="1" applyBorder="1" applyAlignment="1">
      <alignment horizontal="left" wrapText="1" readingOrder="1"/>
    </xf>
    <xf numFmtId="0" fontId="29" fillId="22" borderId="57" xfId="0" applyFont="1" applyFill="1" applyBorder="1" applyAlignment="1">
      <alignment horizontal="left" wrapText="1" readingOrder="1"/>
    </xf>
    <xf numFmtId="0" fontId="37" fillId="0" borderId="58" xfId="0" applyFont="1" applyBorder="1" applyAlignment="1">
      <alignment horizontal="center" wrapText="1" readingOrder="1"/>
    </xf>
    <xf numFmtId="0" fontId="33" fillId="0" borderId="58" xfId="0" applyFont="1" applyBorder="1" applyAlignment="1">
      <alignment horizontal="center" wrapText="1" readingOrder="1"/>
    </xf>
    <xf numFmtId="0" fontId="31" fillId="21" borderId="60" xfId="0" applyFont="1" applyFill="1" applyBorder="1" applyAlignment="1">
      <alignment horizontal="left" wrapText="1" readingOrder="1"/>
    </xf>
    <xf numFmtId="0" fontId="32" fillId="21" borderId="61" xfId="0" applyFont="1" applyFill="1" applyBorder="1" applyAlignment="1">
      <alignment horizontal="center" wrapText="1" readingOrder="1"/>
    </xf>
    <xf numFmtId="0" fontId="32" fillId="21" borderId="62" xfId="0" applyFont="1" applyFill="1" applyBorder="1" applyAlignment="1">
      <alignment horizontal="center" wrapText="1" readingOrder="1"/>
    </xf>
    <xf numFmtId="0" fontId="37" fillId="22" borderId="63" xfId="0" applyFont="1" applyFill="1" applyBorder="1" applyAlignment="1">
      <alignment horizontal="left" wrapText="1" readingOrder="1"/>
    </xf>
    <xf numFmtId="9" fontId="34" fillId="0" borderId="64" xfId="0" applyNumberFormat="1" applyFont="1" applyBorder="1" applyAlignment="1">
      <alignment horizontal="center" wrapText="1" readingOrder="1"/>
    </xf>
    <xf numFmtId="0" fontId="37" fillId="22" borderId="65" xfId="0" applyFont="1" applyFill="1" applyBorder="1" applyAlignment="1">
      <alignment horizontal="left" wrapText="1" readingOrder="1"/>
    </xf>
    <xf numFmtId="0" fontId="37" fillId="0" borderId="66" xfId="0" applyFont="1" applyBorder="1" applyAlignment="1">
      <alignment horizontal="center" wrapText="1" readingOrder="1"/>
    </xf>
    <xf numFmtId="0" fontId="33" fillId="0" borderId="66" xfId="0" applyFont="1" applyBorder="1" applyAlignment="1">
      <alignment horizontal="center" wrapText="1" readingOrder="1"/>
    </xf>
    <xf numFmtId="9" fontId="34" fillId="0" borderId="67" xfId="0" applyNumberFormat="1" applyFont="1" applyBorder="1" applyAlignment="1">
      <alignment horizontal="center" wrapText="1" readingOrder="1"/>
    </xf>
    <xf numFmtId="166" fontId="33" fillId="0" borderId="58" xfId="2" applyNumberFormat="1" applyFont="1" applyBorder="1" applyAlignment="1">
      <alignment wrapText="1" readingOrder="1"/>
    </xf>
    <xf numFmtId="166" fontId="33" fillId="0" borderId="66" xfId="2" applyNumberFormat="1" applyFont="1" applyBorder="1" applyAlignment="1">
      <alignment wrapText="1" readingOrder="1"/>
    </xf>
    <xf numFmtId="0" fontId="32" fillId="21" borderId="61" xfId="0" applyFont="1" applyFill="1" applyBorder="1" applyAlignment="1">
      <alignment horizontal="center" vertical="center" wrapText="1" readingOrder="1"/>
    </xf>
    <xf numFmtId="0" fontId="32" fillId="21" borderId="12" xfId="0" applyFont="1" applyFill="1" applyBorder="1" applyAlignment="1">
      <alignment horizontal="center" vertical="center" wrapText="1" readingOrder="1"/>
    </xf>
    <xf numFmtId="0" fontId="32" fillId="21" borderId="62" xfId="0" applyFont="1" applyFill="1" applyBorder="1" applyAlignment="1">
      <alignment horizontal="center" vertical="center" wrapText="1" readingOrder="1"/>
    </xf>
    <xf numFmtId="166" fontId="33" fillId="0" borderId="58" xfId="2" applyNumberFormat="1" applyFont="1" applyBorder="1" applyAlignment="1">
      <alignment horizontal="center" wrapText="1" readingOrder="1"/>
    </xf>
    <xf numFmtId="166" fontId="33" fillId="0" borderId="66" xfId="2" applyNumberFormat="1" applyFont="1" applyBorder="1" applyAlignment="1">
      <alignment horizontal="center" wrapText="1" readingOrder="1"/>
    </xf>
    <xf numFmtId="0" fontId="27" fillId="21" borderId="60" xfId="0" applyFont="1" applyFill="1" applyBorder="1" applyAlignment="1">
      <alignment horizontal="left" wrapText="1" readingOrder="1"/>
    </xf>
    <xf numFmtId="0" fontId="36" fillId="22" borderId="63" xfId="0" applyFont="1" applyFill="1" applyBorder="1" applyAlignment="1">
      <alignment horizontal="left" wrapText="1" readingOrder="1"/>
    </xf>
    <xf numFmtId="0" fontId="36" fillId="22" borderId="65" xfId="0" applyFont="1" applyFill="1" applyBorder="1" applyAlignment="1">
      <alignment horizontal="left" wrapText="1" readingOrder="1"/>
    </xf>
    <xf numFmtId="9" fontId="30" fillId="0" borderId="64" xfId="0" applyNumberFormat="1" applyFont="1" applyBorder="1" applyAlignment="1">
      <alignment horizontal="center" wrapText="1" readingOrder="1"/>
    </xf>
    <xf numFmtId="9" fontId="30" fillId="0" borderId="67" xfId="0" applyNumberFormat="1" applyFont="1" applyBorder="1" applyAlignment="1">
      <alignment horizontal="center" wrapText="1" readingOrder="1"/>
    </xf>
    <xf numFmtId="0" fontId="38" fillId="21" borderId="60" xfId="0" applyFont="1" applyFill="1" applyBorder="1" applyAlignment="1">
      <alignment horizontal="left" wrapText="1" readingOrder="1"/>
    </xf>
    <xf numFmtId="0" fontId="39" fillId="21" borderId="61" xfId="0" applyFont="1" applyFill="1" applyBorder="1" applyAlignment="1">
      <alignment horizontal="center" wrapText="1" readingOrder="1"/>
    </xf>
    <xf numFmtId="0" fontId="39" fillId="21" borderId="62" xfId="0" applyFont="1" applyFill="1" applyBorder="1" applyAlignment="1">
      <alignment horizontal="center" wrapText="1" readingOrder="1"/>
    </xf>
    <xf numFmtId="0" fontId="35" fillId="22" borderId="63" xfId="0" applyFont="1" applyFill="1" applyBorder="1" applyAlignment="1">
      <alignment horizontal="left" wrapText="1" readingOrder="1"/>
    </xf>
    <xf numFmtId="9" fontId="40" fillId="0" borderId="64" xfId="0" applyNumberFormat="1" applyFont="1" applyBorder="1" applyAlignment="1">
      <alignment horizontal="center" vertical="center" wrapText="1" readingOrder="1"/>
    </xf>
    <xf numFmtId="0" fontId="35" fillId="22" borderId="65" xfId="0" applyFont="1" applyFill="1" applyBorder="1" applyAlignment="1">
      <alignment horizontal="left" wrapText="1" readingOrder="1"/>
    </xf>
    <xf numFmtId="0" fontId="35" fillId="0" borderId="66" xfId="0" applyFont="1" applyBorder="1" applyAlignment="1">
      <alignment horizontal="left" wrapText="1" readingOrder="1"/>
    </xf>
    <xf numFmtId="9" fontId="40" fillId="0" borderId="67" xfId="0" applyNumberFormat="1" applyFont="1" applyBorder="1" applyAlignment="1">
      <alignment horizontal="center" vertical="center" wrapText="1" readingOrder="1"/>
    </xf>
    <xf numFmtId="166" fontId="35" fillId="0" borderId="66" xfId="2" applyNumberFormat="1" applyFont="1" applyBorder="1" applyAlignment="1">
      <alignment horizontal="left" wrapText="1" readingOrder="1"/>
    </xf>
    <xf numFmtId="166" fontId="39" fillId="21" borderId="61" xfId="2" applyNumberFormat="1" applyFont="1" applyFill="1" applyBorder="1" applyAlignment="1">
      <alignment horizontal="center" wrapText="1" readingOrder="1"/>
    </xf>
    <xf numFmtId="166" fontId="39" fillId="21" borderId="12" xfId="2" applyNumberFormat="1" applyFont="1" applyFill="1" applyBorder="1" applyAlignment="1">
      <alignment horizontal="center" vertical="center" wrapText="1" readingOrder="1"/>
    </xf>
    <xf numFmtId="166" fontId="38" fillId="21" borderId="68" xfId="2" applyNumberFormat="1" applyFont="1" applyFill="1" applyBorder="1" applyAlignment="1">
      <alignment horizontal="left" wrapText="1" readingOrder="1"/>
    </xf>
    <xf numFmtId="166" fontId="39" fillId="21" borderId="62" xfId="2" applyNumberFormat="1" applyFont="1" applyFill="1" applyBorder="1" applyAlignment="1">
      <alignment horizontal="center" wrapText="1" readingOrder="1"/>
    </xf>
    <xf numFmtId="166" fontId="35" fillId="22" borderId="69" xfId="2" applyNumberFormat="1" applyFont="1" applyFill="1" applyBorder="1" applyAlignment="1">
      <alignment horizontal="left" wrapText="1" readingOrder="1"/>
    </xf>
    <xf numFmtId="166" fontId="41" fillId="0" borderId="0" xfId="2" applyNumberFormat="1" applyFont="1" applyBorder="1"/>
    <xf numFmtId="166" fontId="40" fillId="0" borderId="64" xfId="2" applyNumberFormat="1" applyFont="1" applyBorder="1" applyAlignment="1">
      <alignment horizontal="center" wrapText="1" readingOrder="1"/>
    </xf>
    <xf numFmtId="166" fontId="35" fillId="22" borderId="63" xfId="2" applyNumberFormat="1" applyFont="1" applyFill="1" applyBorder="1" applyAlignment="1">
      <alignment horizontal="left" wrapText="1" readingOrder="1"/>
    </xf>
    <xf numFmtId="166" fontId="35" fillId="22" borderId="65" xfId="2" applyNumberFormat="1" applyFont="1" applyFill="1" applyBorder="1" applyAlignment="1">
      <alignment horizontal="left" wrapText="1" readingOrder="1"/>
    </xf>
    <xf numFmtId="166" fontId="41" fillId="0" borderId="10" xfId="2" applyNumberFormat="1" applyFont="1" applyBorder="1"/>
    <xf numFmtId="166" fontId="40" fillId="0" borderId="67" xfId="2" applyNumberFormat="1" applyFont="1" applyBorder="1" applyAlignment="1">
      <alignment horizontal="center" wrapText="1" readingOrder="1"/>
    </xf>
    <xf numFmtId="0" fontId="2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0" borderId="12" xfId="0" applyFont="1" applyBorder="1" applyAlignment="1">
      <alignment horizontal="left" vertical="center"/>
    </xf>
    <xf numFmtId="0" fontId="2" fillId="4" borderId="4" xfId="0" applyFont="1" applyFill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4" xfId="0" applyFont="1" applyFill="1" applyBorder="1" applyAlignment="1">
      <alignment horizontal="center" vertical="center"/>
    </xf>
    <xf numFmtId="0" fontId="2" fillId="11" borderId="13" xfId="0" applyFont="1" applyFill="1" applyBorder="1" applyAlignment="1">
      <alignment horizontal="center" vertical="center"/>
    </xf>
    <xf numFmtId="0" fontId="2" fillId="11" borderId="15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/>
    </xf>
    <xf numFmtId="0" fontId="2" fillId="12" borderId="15" xfId="0" applyFont="1" applyFill="1" applyBorder="1" applyAlignment="1">
      <alignment horizontal="center" vertical="center"/>
    </xf>
    <xf numFmtId="0" fontId="2" fillId="12" borderId="14" xfId="0" applyFont="1" applyFill="1" applyBorder="1" applyAlignment="1">
      <alignment horizontal="center"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15" xfId="0" applyFont="1" applyFill="1" applyBorder="1" applyAlignment="1">
      <alignment horizontal="center" vertical="center"/>
    </xf>
    <xf numFmtId="0" fontId="2" fillId="13" borderId="14" xfId="0" applyFont="1" applyFill="1" applyBorder="1" applyAlignment="1">
      <alignment horizontal="center"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15" xfId="0" applyFont="1" applyFill="1" applyBorder="1" applyAlignment="1">
      <alignment horizontal="center" vertical="center"/>
    </xf>
    <xf numFmtId="0" fontId="2" fillId="14" borderId="14" xfId="0" applyFont="1" applyFill="1" applyBorder="1" applyAlignment="1">
      <alignment horizontal="center" vertical="center"/>
    </xf>
    <xf numFmtId="0" fontId="2" fillId="15" borderId="13" xfId="0" applyFont="1" applyFill="1" applyBorder="1" applyAlignment="1">
      <alignment horizontal="center" vertical="center"/>
    </xf>
    <xf numFmtId="0" fontId="2" fillId="15" borderId="15" xfId="0" applyFont="1" applyFill="1" applyBorder="1" applyAlignment="1">
      <alignment horizontal="center" vertical="center"/>
    </xf>
    <xf numFmtId="0" fontId="2" fillId="15" borderId="14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4" borderId="0" xfId="0" applyFont="1" applyFill="1" applyBorder="1" applyAlignment="1">
      <alignment horizontal="center"/>
    </xf>
    <xf numFmtId="0" fontId="22" fillId="18" borderId="4" xfId="0" applyFont="1" applyFill="1" applyBorder="1" applyAlignment="1">
      <alignment horizontal="center"/>
    </xf>
  </cellXfs>
  <cellStyles count="5">
    <cellStyle name="Comma" xfId="2" builtinId="3"/>
    <cellStyle name="Comma 2" xfId="1" xr:uid="{00000000-0005-0000-0000-000000000000}"/>
    <cellStyle name="Normal" xfId="0" builtinId="0"/>
    <cellStyle name="Normal 4" xfId="4" xr:uid="{CD0FB206-7770-4BF5-B108-5A84D58F714F}"/>
    <cellStyle name="Percent" xfId="3" builtinId="5"/>
  </cellStyles>
  <dxfs count="120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EB7373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EB7373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EB7373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EB7373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EB7373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EB7373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EB7373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EB7373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EB7373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EB7373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EB7373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EB7373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EB7373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EB7373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EB7373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EB7373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EB7373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EB7373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EB7373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EB7373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EB7373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EB7373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EB7373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EB7373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EB7373"/>
        </patternFill>
      </fill>
    </dxf>
  </dxfs>
  <tableStyles count="0" defaultTableStyle="TableStyleMedium2" defaultPivotStyle="PivotStyleLight16"/>
  <colors>
    <mruColors>
      <color rgb="FF66FF99"/>
      <color rgb="FFFF99FF"/>
      <color rgb="FFF07373"/>
      <color rgb="FFEB7373"/>
      <color rgb="FFFF4B4B"/>
      <color rgb="FFEB53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sue Kalambo" id="{C22747B1-EB8A-4162-8347-B7EB7CB3709A}" userId="S::jkalambo@unicef.org::bfde001e-6a53-4d21-9143-6a2694daf17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10" dT="2020-04-07T10:58:00.01" personId="{C22747B1-EB8A-4162-8347-B7EB7CB3709A}" id="{7BF9DB0D-14B0-4A21-9453-52D99DBDBC14}">
    <text>Mini campagne dans l'aire de santé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135"/>
  <sheetViews>
    <sheetView zoomScale="110" zoomScaleNormal="110" workbookViewId="0">
      <pane xSplit="1" ySplit="5" topLeftCell="AB6" activePane="bottomRight" state="frozen"/>
      <selection pane="topRight" activeCell="B1" sqref="B1"/>
      <selection pane="bottomLeft" activeCell="A6" sqref="A6"/>
      <selection pane="bottomRight" activeCell="K13" sqref="K13"/>
    </sheetView>
  </sheetViews>
  <sheetFormatPr defaultColWidth="11.5546875" defaultRowHeight="14.4" x14ac:dyDescent="0.3"/>
  <cols>
    <col min="1" max="1" width="21" customWidth="1"/>
    <col min="2" max="2" width="11.33203125" style="183" customWidth="1"/>
    <col min="3" max="3" width="10.6640625" customWidth="1"/>
    <col min="4" max="4" width="13.5546875" style="24" customWidth="1"/>
    <col min="5" max="5" width="12.109375" customWidth="1"/>
    <col min="6" max="6" width="12.109375" style="24" customWidth="1"/>
    <col min="7" max="7" width="7.109375" bestFit="1" customWidth="1"/>
    <col min="8" max="9" width="12.5546875" style="24" customWidth="1"/>
    <col min="10" max="10" width="8.109375" bestFit="1" customWidth="1"/>
    <col min="11" max="11" width="12.5546875" style="24" customWidth="1"/>
    <col min="12" max="12" width="10.33203125" style="24" customWidth="1"/>
    <col min="13" max="13" width="8.109375" bestFit="1" customWidth="1"/>
    <col min="14" max="14" width="12.109375" style="24" customWidth="1"/>
    <col min="15" max="15" width="8.109375" style="24" customWidth="1"/>
    <col min="16" max="16" width="8.109375" bestFit="1" customWidth="1"/>
    <col min="17" max="17" width="11.88671875" style="24" customWidth="1"/>
    <col min="18" max="18" width="10.33203125" style="24" customWidth="1"/>
    <col min="19" max="19" width="7.109375" bestFit="1" customWidth="1"/>
    <col min="20" max="20" width="13.44140625" style="24" customWidth="1"/>
    <col min="21" max="21" width="10.44140625" style="24" customWidth="1"/>
    <col min="22" max="22" width="7.109375" bestFit="1" customWidth="1"/>
    <col min="23" max="23" width="13.44140625" style="24" customWidth="1"/>
    <col min="24" max="24" width="9.5546875" style="24" customWidth="1"/>
    <col min="25" max="25" width="7.109375" bestFit="1" customWidth="1"/>
    <col min="26" max="26" width="12.6640625" style="24" customWidth="1"/>
    <col min="27" max="27" width="9.5546875" style="24" customWidth="1"/>
    <col min="28" max="28" width="7.109375" bestFit="1" customWidth="1"/>
    <col min="29" max="29" width="12.33203125" style="24" customWidth="1"/>
    <col min="30" max="30" width="9.6640625" style="24" customWidth="1"/>
    <col min="31" max="31" width="7.109375" bestFit="1" customWidth="1"/>
    <col min="32" max="32" width="12.33203125" style="24" customWidth="1"/>
    <col min="33" max="33" width="10" style="24" customWidth="1"/>
    <col min="34" max="34" width="8.109375" bestFit="1" customWidth="1"/>
    <col min="35" max="35" width="14" style="24" customWidth="1"/>
    <col min="36" max="36" width="7.109375" bestFit="1" customWidth="1"/>
    <col min="37" max="37" width="8.109375" bestFit="1" customWidth="1"/>
    <col min="38" max="38" width="8.109375" customWidth="1"/>
    <col min="39" max="40" width="8.109375" bestFit="1" customWidth="1"/>
    <col min="41" max="41" width="7.109375" bestFit="1" customWidth="1"/>
    <col min="42" max="43" width="8.109375" bestFit="1" customWidth="1"/>
    <col min="44" max="44" width="7.109375" bestFit="1" customWidth="1"/>
    <col min="45" max="45" width="8.109375" bestFit="1" customWidth="1"/>
    <col min="46" max="46" width="9" customWidth="1"/>
    <col min="47" max="47" width="8.88671875" customWidth="1"/>
    <col min="48" max="48" width="9.6640625" customWidth="1"/>
  </cols>
  <sheetData>
    <row r="1" spans="1:55" ht="18" x14ac:dyDescent="0.35">
      <c r="A1" s="414" t="s">
        <v>0</v>
      </c>
      <c r="B1" s="414"/>
      <c r="C1" s="414"/>
      <c r="D1" s="414"/>
      <c r="E1" s="414"/>
      <c r="F1" s="414"/>
      <c r="G1" s="414"/>
      <c r="H1" s="414"/>
      <c r="I1" s="414"/>
      <c r="J1" s="414"/>
      <c r="K1" s="414"/>
      <c r="L1" s="414"/>
      <c r="M1" s="414"/>
      <c r="N1" s="414"/>
      <c r="O1" s="414"/>
      <c r="P1" s="414"/>
      <c r="Q1" s="414"/>
      <c r="R1" s="414"/>
      <c r="S1" s="414"/>
      <c r="T1" s="414"/>
      <c r="U1" s="414"/>
      <c r="V1" s="414"/>
      <c r="W1" s="414"/>
      <c r="X1" s="414"/>
      <c r="Y1" s="414"/>
      <c r="Z1" s="414"/>
      <c r="AA1" s="414"/>
      <c r="AB1" s="414"/>
      <c r="AC1" s="414"/>
      <c r="AD1" s="414"/>
      <c r="AE1" s="414"/>
      <c r="AF1" s="414"/>
      <c r="AG1" s="414"/>
      <c r="AH1" s="414"/>
      <c r="AI1" s="36"/>
    </row>
    <row r="2" spans="1:55" ht="18" x14ac:dyDescent="0.35">
      <c r="A2" s="1"/>
      <c r="B2" s="195"/>
      <c r="C2" s="1"/>
      <c r="D2" s="36"/>
      <c r="E2" s="1"/>
      <c r="F2" s="36"/>
      <c r="G2" s="1"/>
      <c r="H2" s="36"/>
      <c r="I2" s="36"/>
      <c r="J2" s="1"/>
      <c r="K2" s="36"/>
      <c r="L2" s="36"/>
      <c r="M2" s="1"/>
      <c r="N2" s="36"/>
      <c r="O2" s="36"/>
      <c r="P2" s="1"/>
      <c r="Q2" s="36"/>
      <c r="R2" s="36"/>
      <c r="S2" s="1"/>
      <c r="T2" s="36"/>
      <c r="U2" s="36"/>
      <c r="V2" s="1"/>
      <c r="W2" s="36"/>
      <c r="X2" s="36"/>
      <c r="Y2" s="1"/>
      <c r="Z2" s="36"/>
      <c r="AA2" s="36"/>
      <c r="AB2" s="1"/>
      <c r="AC2" s="36"/>
      <c r="AD2" s="36"/>
      <c r="AE2" s="1"/>
      <c r="AF2" s="36"/>
      <c r="AG2" s="36"/>
      <c r="AH2" s="9"/>
      <c r="AI2" s="9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0"/>
    </row>
    <row r="3" spans="1:55" ht="16.2" thickBot="1" x14ac:dyDescent="0.35">
      <c r="F3" s="413" t="s">
        <v>98</v>
      </c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  <c r="R3" s="413"/>
      <c r="S3" s="413"/>
      <c r="T3" s="413"/>
      <c r="U3" s="413"/>
      <c r="V3" s="413"/>
      <c r="W3" s="413"/>
      <c r="X3" s="413"/>
      <c r="Y3" s="413"/>
      <c r="Z3" s="413"/>
      <c r="AA3" s="413"/>
      <c r="AB3" s="413"/>
      <c r="AC3" s="413"/>
      <c r="AD3" s="413"/>
      <c r="AE3" s="413"/>
      <c r="AF3" s="413"/>
      <c r="AG3" s="413"/>
      <c r="AH3" s="413"/>
      <c r="AI3" s="37"/>
      <c r="AJ3" s="415" t="s">
        <v>12</v>
      </c>
      <c r="AK3" s="415"/>
      <c r="AL3" s="415"/>
      <c r="AM3" s="415"/>
      <c r="AN3" s="415"/>
      <c r="AO3" s="415"/>
      <c r="AP3" s="415"/>
      <c r="AQ3" s="415"/>
      <c r="AR3" s="415"/>
      <c r="AS3" s="415"/>
      <c r="AT3" s="417" t="s">
        <v>13</v>
      </c>
      <c r="AU3" s="417"/>
      <c r="AV3" s="417"/>
      <c r="AW3" s="417"/>
      <c r="AX3" s="417"/>
      <c r="AY3" s="417"/>
      <c r="AZ3" s="417"/>
      <c r="BA3" s="417"/>
      <c r="BB3" s="417"/>
      <c r="BC3" s="417"/>
    </row>
    <row r="4" spans="1:55" ht="16.2" thickBot="1" x14ac:dyDescent="0.35">
      <c r="A4" s="416" t="s">
        <v>1</v>
      </c>
      <c r="B4" s="206" t="s">
        <v>83</v>
      </c>
      <c r="C4" s="206" t="s">
        <v>83</v>
      </c>
      <c r="D4" s="418" t="s">
        <v>92</v>
      </c>
      <c r="E4" s="419"/>
      <c r="F4" s="420" t="s">
        <v>2</v>
      </c>
      <c r="G4" s="420"/>
      <c r="H4" s="421"/>
      <c r="I4" s="422" t="s">
        <v>3</v>
      </c>
      <c r="J4" s="423"/>
      <c r="K4" s="424"/>
      <c r="L4" s="425" t="s">
        <v>4</v>
      </c>
      <c r="M4" s="426"/>
      <c r="N4" s="427"/>
      <c r="O4" s="446" t="s">
        <v>5</v>
      </c>
      <c r="P4" s="447"/>
      <c r="Q4" s="448"/>
      <c r="R4" s="428" t="s">
        <v>6</v>
      </c>
      <c r="S4" s="429"/>
      <c r="T4" s="430"/>
      <c r="U4" s="431" t="s">
        <v>7</v>
      </c>
      <c r="V4" s="432"/>
      <c r="W4" s="433"/>
      <c r="X4" s="434" t="s">
        <v>8</v>
      </c>
      <c r="Y4" s="435"/>
      <c r="Z4" s="436"/>
      <c r="AA4" s="437" t="s">
        <v>9</v>
      </c>
      <c r="AB4" s="438"/>
      <c r="AC4" s="439"/>
      <c r="AD4" s="440" t="s">
        <v>10</v>
      </c>
      <c r="AE4" s="441"/>
      <c r="AF4" s="442"/>
      <c r="AG4" s="443" t="s">
        <v>11</v>
      </c>
      <c r="AH4" s="444"/>
      <c r="AI4" s="445"/>
      <c r="AJ4" s="6" t="s">
        <v>2</v>
      </c>
      <c r="AK4" s="4" t="s">
        <v>3</v>
      </c>
      <c r="AL4" s="330" t="s">
        <v>4</v>
      </c>
      <c r="AM4" s="4" t="s">
        <v>5</v>
      </c>
      <c r="AN4" s="4" t="s">
        <v>6</v>
      </c>
      <c r="AO4" s="4" t="s">
        <v>7</v>
      </c>
      <c r="AP4" s="4" t="s">
        <v>8</v>
      </c>
      <c r="AQ4" s="4" t="s">
        <v>9</v>
      </c>
      <c r="AR4" s="4" t="s">
        <v>10</v>
      </c>
      <c r="AS4" s="5" t="s">
        <v>11</v>
      </c>
      <c r="AT4" s="6" t="s">
        <v>2</v>
      </c>
      <c r="AU4" s="4" t="s">
        <v>3</v>
      </c>
      <c r="AV4" s="330" t="s">
        <v>4</v>
      </c>
      <c r="AW4" s="4" t="s">
        <v>5</v>
      </c>
      <c r="AX4" s="4" t="s">
        <v>6</v>
      </c>
      <c r="AY4" s="4" t="s">
        <v>7</v>
      </c>
      <c r="AZ4" s="4" t="s">
        <v>8</v>
      </c>
      <c r="BA4" s="4" t="s">
        <v>9</v>
      </c>
      <c r="BB4" s="4" t="s">
        <v>10</v>
      </c>
      <c r="BC4" s="5" t="s">
        <v>11</v>
      </c>
    </row>
    <row r="5" spans="1:55" ht="15.75" customHeight="1" thickBot="1" x14ac:dyDescent="0.35">
      <c r="A5" s="416"/>
      <c r="B5" s="207" t="s">
        <v>140</v>
      </c>
      <c r="C5" s="207" t="s">
        <v>141</v>
      </c>
      <c r="D5" s="204" t="s">
        <v>93</v>
      </c>
      <c r="E5" s="38" t="s">
        <v>94</v>
      </c>
      <c r="F5" s="39" t="s">
        <v>95</v>
      </c>
      <c r="G5" s="40" t="s">
        <v>96</v>
      </c>
      <c r="H5" s="41" t="s">
        <v>97</v>
      </c>
      <c r="I5" s="42" t="s">
        <v>95</v>
      </c>
      <c r="J5" s="40" t="s">
        <v>96</v>
      </c>
      <c r="K5" s="43" t="s">
        <v>97</v>
      </c>
      <c r="L5" s="44" t="s">
        <v>95</v>
      </c>
      <c r="M5" s="45" t="s">
        <v>96</v>
      </c>
      <c r="N5" s="46" t="s">
        <v>97</v>
      </c>
      <c r="O5" s="39" t="s">
        <v>95</v>
      </c>
      <c r="P5" s="40" t="s">
        <v>96</v>
      </c>
      <c r="Q5" s="41" t="s">
        <v>97</v>
      </c>
      <c r="R5" s="42" t="s">
        <v>95</v>
      </c>
      <c r="S5" s="40" t="s">
        <v>96</v>
      </c>
      <c r="T5" s="41" t="s">
        <v>97</v>
      </c>
      <c r="U5" s="42" t="s">
        <v>95</v>
      </c>
      <c r="V5" s="40" t="s">
        <v>96</v>
      </c>
      <c r="W5" s="41" t="s">
        <v>97</v>
      </c>
      <c r="X5" s="42" t="s">
        <v>95</v>
      </c>
      <c r="Y5" s="40" t="s">
        <v>96</v>
      </c>
      <c r="Z5" s="41" t="s">
        <v>97</v>
      </c>
      <c r="AA5" s="42" t="s">
        <v>95</v>
      </c>
      <c r="AB5" s="40" t="s">
        <v>96</v>
      </c>
      <c r="AC5" s="41" t="s">
        <v>97</v>
      </c>
      <c r="AD5" s="42" t="s">
        <v>95</v>
      </c>
      <c r="AE5" s="40" t="s">
        <v>96</v>
      </c>
      <c r="AF5" s="41" t="s">
        <v>97</v>
      </c>
      <c r="AG5" s="42" t="s">
        <v>95</v>
      </c>
      <c r="AH5" s="40" t="s">
        <v>96</v>
      </c>
      <c r="AI5" s="41" t="s">
        <v>97</v>
      </c>
      <c r="AJ5" s="8">
        <v>0.9</v>
      </c>
      <c r="AK5" s="8">
        <v>0.9</v>
      </c>
      <c r="AL5" s="8">
        <v>0.9</v>
      </c>
      <c r="AM5" s="8">
        <v>0.9</v>
      </c>
      <c r="AN5" s="8">
        <v>0.9</v>
      </c>
      <c r="AO5" s="8">
        <v>0.9</v>
      </c>
      <c r="AP5" s="8">
        <v>0.9</v>
      </c>
      <c r="AQ5" s="8">
        <v>0.9</v>
      </c>
      <c r="AR5" s="8">
        <v>0.9</v>
      </c>
      <c r="AS5" s="7">
        <v>0.9</v>
      </c>
      <c r="AT5" s="11"/>
      <c r="AU5" s="12"/>
      <c r="AV5" s="12"/>
      <c r="AW5" s="12"/>
      <c r="AX5" s="12"/>
      <c r="AY5" s="12"/>
      <c r="AZ5" s="12"/>
      <c r="BA5" s="12"/>
      <c r="BB5" s="12"/>
      <c r="BC5" s="13"/>
    </row>
    <row r="6" spans="1:55" x14ac:dyDescent="0.3">
      <c r="A6" s="208" t="s">
        <v>87</v>
      </c>
      <c r="B6" s="209">
        <v>23064</v>
      </c>
      <c r="C6" s="210">
        <v>22979</v>
      </c>
      <c r="D6" s="205" t="s">
        <v>99</v>
      </c>
      <c r="E6" s="49">
        <v>43861</v>
      </c>
      <c r="F6" s="311">
        <v>5800</v>
      </c>
      <c r="G6" s="68">
        <v>2080</v>
      </c>
      <c r="H6" s="69"/>
      <c r="I6" s="67"/>
      <c r="J6" s="68">
        <v>14100</v>
      </c>
      <c r="K6" s="70"/>
      <c r="L6" s="60"/>
      <c r="M6" s="58">
        <v>7270</v>
      </c>
      <c r="N6" s="59"/>
      <c r="O6" s="67"/>
      <c r="P6" s="68">
        <v>5100</v>
      </c>
      <c r="Q6" s="69"/>
      <c r="R6" s="67"/>
      <c r="S6" s="68">
        <v>4850</v>
      </c>
      <c r="T6" s="69"/>
      <c r="U6" s="67"/>
      <c r="V6" s="68">
        <v>2640</v>
      </c>
      <c r="W6" s="69"/>
      <c r="X6" s="67"/>
      <c r="Y6" s="68">
        <v>9710</v>
      </c>
      <c r="Z6" s="69"/>
      <c r="AA6" s="67"/>
      <c r="AB6" s="68">
        <v>4100</v>
      </c>
      <c r="AC6" s="69"/>
      <c r="AD6" s="67"/>
      <c r="AE6" s="68">
        <v>5040</v>
      </c>
      <c r="AF6" s="69"/>
      <c r="AG6" s="67"/>
      <c r="AH6" s="68">
        <v>6800</v>
      </c>
      <c r="AI6" s="69"/>
      <c r="AJ6" s="21">
        <f>((B6*0.9*1.43)/52)*15</f>
        <v>8562.51</v>
      </c>
      <c r="AK6" s="21">
        <f>((C6*0.9*4*1.25)/52)*15</f>
        <v>29828.509615384621</v>
      </c>
      <c r="AL6" s="21">
        <f>((C6*0.9*3*1.11)/52)*15</f>
        <v>19865.787403846156</v>
      </c>
      <c r="AM6" s="21">
        <f>((C6*0.9*3*1.11)/52)*15</f>
        <v>19865.787403846156</v>
      </c>
      <c r="AN6" s="21">
        <f>((C6*0.9*2*1.05)/52)*15</f>
        <v>12527.97403846154</v>
      </c>
      <c r="AO6" s="21">
        <f>((C6*0.9*1*1.25)/52)*15</f>
        <v>7457.1274038461552</v>
      </c>
      <c r="AP6" s="21">
        <f>((C6*0.9*2*1.25)/52)*15</f>
        <v>14914.25480769231</v>
      </c>
      <c r="AQ6" s="21">
        <f>((C6*0.9*1*1.25)/52)*15</f>
        <v>7457.1274038461552</v>
      </c>
      <c r="AR6" s="21">
        <f>((C6*0.9*1*1.25)/52)*15</f>
        <v>7457.1274038461552</v>
      </c>
      <c r="AS6" s="21">
        <f>((B6*0.9*2*1.11)/52)*15</f>
        <v>13292.847692307696</v>
      </c>
      <c r="AT6" s="15">
        <f>ROUND(G6/(AJ6/15),0)</f>
        <v>4</v>
      </c>
      <c r="AU6" s="16">
        <f>ROUND(J6/(AK6/15),0)</f>
        <v>7</v>
      </c>
      <c r="AV6" s="16">
        <f>ROUND(M6/(AL6/15),0)</f>
        <v>5</v>
      </c>
      <c r="AW6" s="16">
        <f>ROUND(P6/(AM6/15),0)</f>
        <v>4</v>
      </c>
      <c r="AX6" s="16">
        <f>ROUND(S6/(AN6/15),0)</f>
        <v>6</v>
      </c>
      <c r="AY6" s="16">
        <f>ROUND(V6/(AO6/15),0)</f>
        <v>5</v>
      </c>
      <c r="AZ6" s="16">
        <f>ROUND(Y6/(AP6/15),0)</f>
        <v>10</v>
      </c>
      <c r="BA6" s="16">
        <f>ROUND(AB6/(AQ6/15),0)</f>
        <v>8</v>
      </c>
      <c r="BB6" s="16">
        <f>ROUND(AE6/(AR6/15),0)</f>
        <v>10</v>
      </c>
      <c r="BC6" s="17">
        <f t="shared" ref="BC6" si="0">ROUND(AH6/(AS6/15),0)</f>
        <v>8</v>
      </c>
    </row>
    <row r="7" spans="1:55" x14ac:dyDescent="0.3">
      <c r="A7" s="211" t="s">
        <v>100</v>
      </c>
      <c r="B7" s="212">
        <v>1670</v>
      </c>
      <c r="C7" s="213">
        <v>1664</v>
      </c>
      <c r="D7" s="205" t="s">
        <v>99</v>
      </c>
      <c r="E7" s="49">
        <v>43861</v>
      </c>
      <c r="F7" s="311">
        <v>180</v>
      </c>
      <c r="G7" s="47">
        <v>220</v>
      </c>
      <c r="H7" s="51"/>
      <c r="I7" s="52"/>
      <c r="J7" s="48">
        <v>720</v>
      </c>
      <c r="K7" s="53"/>
      <c r="L7" s="54"/>
      <c r="M7" s="48">
        <v>460</v>
      </c>
      <c r="N7" s="55"/>
      <c r="O7" s="54"/>
      <c r="P7" s="48">
        <v>532</v>
      </c>
      <c r="Q7" s="55"/>
      <c r="R7" s="54"/>
      <c r="S7" s="48">
        <v>341</v>
      </c>
      <c r="T7" s="55"/>
      <c r="U7" s="54"/>
      <c r="V7" s="48">
        <v>180</v>
      </c>
      <c r="W7" s="55"/>
      <c r="X7" s="54"/>
      <c r="Y7" s="48">
        <v>420</v>
      </c>
      <c r="Z7" s="55"/>
      <c r="AA7" s="54"/>
      <c r="AB7" s="48">
        <v>210</v>
      </c>
      <c r="AC7" s="55"/>
      <c r="AD7" s="54"/>
      <c r="AE7" s="48">
        <v>210</v>
      </c>
      <c r="AF7" s="55"/>
      <c r="AG7" s="54"/>
      <c r="AH7" s="48">
        <v>360</v>
      </c>
      <c r="AI7" s="55"/>
      <c r="AJ7" s="22">
        <f>(($C7*AJ$5*1*(1/(1-0.3)))/52)*5</f>
        <v>205.71428571428572</v>
      </c>
      <c r="AK7" s="22">
        <f>(($C7*AK$5*4*(1/(1-0.1)))/52)*5</f>
        <v>640.00000000000011</v>
      </c>
      <c r="AL7" s="22">
        <f>(($C7*AL$5*3*(1/(1-0.1)))/52)*5</f>
        <v>480</v>
      </c>
      <c r="AM7" s="22">
        <f>(($C7*AM$5*3*(1/(1-0.1)))/52)*5</f>
        <v>480</v>
      </c>
      <c r="AN7" s="22">
        <f>(($C7*AN$5*2*(1/(1-0.01)))/52)*5</f>
        <v>290.90909090909099</v>
      </c>
      <c r="AO7" s="22">
        <f>(($C7*AO$5*1*(1/(1-0.2)))/52)*5</f>
        <v>180.00000000000003</v>
      </c>
      <c r="AP7" s="22">
        <f>(($C7*AP$5*2*(1/(1-0.2)))/52)*5</f>
        <v>360.00000000000006</v>
      </c>
      <c r="AQ7" s="22">
        <f>(($C7*AQ$5*1*(1/(1-0.2)))/52)*5</f>
        <v>180.00000000000003</v>
      </c>
      <c r="AR7" s="22">
        <f>(($C7*AR$5*1*(1/(1-0.2)))/52)*5</f>
        <v>180.00000000000003</v>
      </c>
      <c r="AS7" s="23">
        <f>(($C7*AS$5*2*(1/(1-0.1)))/52)*5</f>
        <v>320.00000000000006</v>
      </c>
      <c r="AT7" s="18">
        <f t="shared" ref="AT7:AT13" si="1">ROUND(G7/(AJ7/5),0)</f>
        <v>5</v>
      </c>
      <c r="AU7" s="19">
        <f>ROUND(J7/(AK7/5),0)</f>
        <v>6</v>
      </c>
      <c r="AV7" s="19">
        <f>ROUND(M7/(AL7/5),0)</f>
        <v>5</v>
      </c>
      <c r="AW7" s="19">
        <f>ROUND(P7/(AM7/5),0)</f>
        <v>6</v>
      </c>
      <c r="AX7" s="19">
        <f>ROUND(S7/(AN7/5),0)</f>
        <v>6</v>
      </c>
      <c r="AY7" s="19">
        <f>ROUND(V7/(AO7/5),0)</f>
        <v>5</v>
      </c>
      <c r="AZ7" s="19">
        <f>ROUND(Y7/(AP7/5),0)</f>
        <v>6</v>
      </c>
      <c r="BA7" s="19">
        <f>ROUND(AB7/(AQ7/5),0)</f>
        <v>6</v>
      </c>
      <c r="BB7" s="19">
        <f>ROUND(AE7/(AR7/5),0)</f>
        <v>6</v>
      </c>
      <c r="BC7" s="20">
        <f t="shared" ref="BC7" si="2">ROUND(AH7/(AS7/5),0)</f>
        <v>6</v>
      </c>
    </row>
    <row r="8" spans="1:55" x14ac:dyDescent="0.3">
      <c r="A8" s="211" t="s">
        <v>101</v>
      </c>
      <c r="B8" s="212">
        <v>5490</v>
      </c>
      <c r="C8" s="213">
        <v>5470</v>
      </c>
      <c r="D8" s="205" t="s">
        <v>99</v>
      </c>
      <c r="E8" s="49">
        <v>43861</v>
      </c>
      <c r="F8" s="311">
        <v>700</v>
      </c>
      <c r="G8" s="48">
        <v>700</v>
      </c>
      <c r="H8" s="55"/>
      <c r="I8" s="54"/>
      <c r="J8" s="48">
        <v>2180</v>
      </c>
      <c r="K8" s="53"/>
      <c r="L8" s="54"/>
      <c r="M8" s="48">
        <v>1570</v>
      </c>
      <c r="N8" s="55"/>
      <c r="O8" s="54"/>
      <c r="P8" s="48">
        <v>1568</v>
      </c>
      <c r="Q8" s="55"/>
      <c r="R8" s="54"/>
      <c r="S8" s="48">
        <v>1005</v>
      </c>
      <c r="T8" s="55"/>
      <c r="U8" s="54"/>
      <c r="V8" s="48">
        <v>520</v>
      </c>
      <c r="W8" s="55"/>
      <c r="X8" s="54"/>
      <c r="Y8" s="48">
        <v>1240</v>
      </c>
      <c r="Z8" s="55"/>
      <c r="AA8" s="54"/>
      <c r="AB8" s="48">
        <v>680</v>
      </c>
      <c r="AC8" s="55"/>
      <c r="AD8" s="54"/>
      <c r="AE8" s="48">
        <v>680</v>
      </c>
      <c r="AF8" s="55"/>
      <c r="AG8" s="54"/>
      <c r="AH8" s="48">
        <v>1090</v>
      </c>
      <c r="AI8" s="55"/>
      <c r="AJ8" s="22">
        <f t="shared" ref="AJ8:AJ13" si="3">(($C8*AJ$5*1*(1/(1-0.3)))/52)*5</f>
        <v>676.23626373626382</v>
      </c>
      <c r="AK8" s="22">
        <f t="shared" ref="AK8:AK13" si="4">(($C8*AK$5*4*(1/(1-0.1)))/52)*5</f>
        <v>2103.8461538461538</v>
      </c>
      <c r="AL8" s="22">
        <f t="shared" ref="AL8:AM13" si="5">(($C8*AL$5*3*(1/(1-0.1)))/52)*5</f>
        <v>1577.8846153846155</v>
      </c>
      <c r="AM8" s="22">
        <f t="shared" si="5"/>
        <v>1577.8846153846155</v>
      </c>
      <c r="AN8" s="22">
        <f t="shared" ref="AN8:AN13" si="6">(($C8*AN$5*2*(1/(1-0.01)))/52)*5</f>
        <v>956.29370629370646</v>
      </c>
      <c r="AO8" s="22">
        <f t="shared" ref="AO8:AO13" si="7">(($C8*AO$5*1*(1/(1-0.2)))/52)*5</f>
        <v>591.70673076923083</v>
      </c>
      <c r="AP8" s="22">
        <f t="shared" ref="AP8:AP13" si="8">(($C8*AP$5*2*(1/(1-0.2)))/52)*5</f>
        <v>1183.4134615384617</v>
      </c>
      <c r="AQ8" s="22">
        <f t="shared" ref="AQ8:AR13" si="9">(($C8*AQ$5*1*(1/(1-0.2)))/52)*5</f>
        <v>591.70673076923083</v>
      </c>
      <c r="AR8" s="22">
        <f t="shared" si="9"/>
        <v>591.70673076923083</v>
      </c>
      <c r="AS8" s="23">
        <f t="shared" ref="AS8:AS13" si="10">(($C8*AS$5*2*(1/(1-0.1)))/52)*5</f>
        <v>1051.9230769230769</v>
      </c>
      <c r="AT8" s="18">
        <f t="shared" si="1"/>
        <v>5</v>
      </c>
      <c r="AU8" s="19">
        <f t="shared" ref="AU8:AU12" si="11">ROUND(J8/(AK8/5),0)</f>
        <v>5</v>
      </c>
      <c r="AV8" s="19">
        <f t="shared" ref="AV8:AV12" si="12">ROUND(M8/(AL8/5),0)</f>
        <v>5</v>
      </c>
      <c r="AW8" s="19">
        <f t="shared" ref="AW8:AW12" si="13">ROUND(P8/(AM8/5),0)</f>
        <v>5</v>
      </c>
      <c r="AX8" s="19">
        <f t="shared" ref="AX8:AX12" si="14">ROUND(S8/(AN8/5),0)</f>
        <v>5</v>
      </c>
      <c r="AY8" s="19">
        <f t="shared" ref="AY8:AY12" si="15">ROUND(V8/(AO8/5),0)</f>
        <v>4</v>
      </c>
      <c r="AZ8" s="19">
        <f t="shared" ref="AZ8:AZ12" si="16">ROUND(Y8/(AP8/5),0)</f>
        <v>5</v>
      </c>
      <c r="BA8" s="19">
        <f t="shared" ref="BA8:BA12" si="17">ROUND(AB8/(AQ8/5),0)</f>
        <v>6</v>
      </c>
      <c r="BB8" s="19">
        <f t="shared" ref="BB8:BB12" si="18">ROUND(AE8/(AR8/5),0)</f>
        <v>6</v>
      </c>
      <c r="BC8" s="20">
        <f t="shared" ref="BC8:BC12" si="19">ROUND(AH8/(AS8/5),0)</f>
        <v>5</v>
      </c>
    </row>
    <row r="9" spans="1:55" x14ac:dyDescent="0.3">
      <c r="A9" s="211" t="s">
        <v>102</v>
      </c>
      <c r="B9" s="212">
        <v>4967</v>
      </c>
      <c r="C9" s="213">
        <v>4949</v>
      </c>
      <c r="D9" s="205" t="s">
        <v>99</v>
      </c>
      <c r="E9" s="49">
        <v>43861</v>
      </c>
      <c r="F9" s="311">
        <v>460</v>
      </c>
      <c r="G9" s="48">
        <v>760</v>
      </c>
      <c r="H9" s="55"/>
      <c r="I9" s="54"/>
      <c r="J9" s="48">
        <v>2260</v>
      </c>
      <c r="K9" s="53"/>
      <c r="L9" s="54"/>
      <c r="M9" s="48">
        <v>1540</v>
      </c>
      <c r="N9" s="55"/>
      <c r="O9" s="54"/>
      <c r="P9" s="48">
        <v>1536</v>
      </c>
      <c r="Q9" s="55"/>
      <c r="R9" s="54"/>
      <c r="S9" s="48">
        <v>980</v>
      </c>
      <c r="T9" s="55"/>
      <c r="U9" s="54"/>
      <c r="V9" s="48">
        <v>510</v>
      </c>
      <c r="W9" s="55"/>
      <c r="X9" s="54"/>
      <c r="Y9" s="48">
        <v>1220</v>
      </c>
      <c r="Z9" s="55"/>
      <c r="AA9" s="54"/>
      <c r="AB9" s="48">
        <v>610</v>
      </c>
      <c r="AC9" s="55"/>
      <c r="AD9" s="54"/>
      <c r="AE9" s="48">
        <v>610</v>
      </c>
      <c r="AF9" s="55"/>
      <c r="AG9" s="54"/>
      <c r="AH9" s="48">
        <v>1240</v>
      </c>
      <c r="AI9" s="55"/>
      <c r="AJ9" s="22">
        <f t="shared" si="3"/>
        <v>611.82692307692309</v>
      </c>
      <c r="AK9" s="22">
        <f t="shared" si="4"/>
        <v>1903.4615384615386</v>
      </c>
      <c r="AL9" s="22">
        <f t="shared" si="5"/>
        <v>1427.5961538461543</v>
      </c>
      <c r="AM9" s="22">
        <f t="shared" si="5"/>
        <v>1427.5961538461543</v>
      </c>
      <c r="AN9" s="22">
        <f t="shared" si="6"/>
        <v>865.20979020979041</v>
      </c>
      <c r="AO9" s="22">
        <f t="shared" si="7"/>
        <v>535.34855769230762</v>
      </c>
      <c r="AP9" s="22">
        <f t="shared" si="8"/>
        <v>1070.6971153846152</v>
      </c>
      <c r="AQ9" s="22">
        <f t="shared" si="9"/>
        <v>535.34855769230762</v>
      </c>
      <c r="AR9" s="22">
        <f t="shared" si="9"/>
        <v>535.34855769230762</v>
      </c>
      <c r="AS9" s="23">
        <f t="shared" si="10"/>
        <v>951.73076923076928</v>
      </c>
      <c r="AT9" s="18">
        <f t="shared" si="1"/>
        <v>6</v>
      </c>
      <c r="AU9" s="19">
        <f t="shared" si="11"/>
        <v>6</v>
      </c>
      <c r="AV9" s="19">
        <f t="shared" si="12"/>
        <v>5</v>
      </c>
      <c r="AW9" s="19">
        <f t="shared" si="13"/>
        <v>5</v>
      </c>
      <c r="AX9" s="19">
        <f t="shared" si="14"/>
        <v>6</v>
      </c>
      <c r="AY9" s="19">
        <f t="shared" si="15"/>
        <v>5</v>
      </c>
      <c r="AZ9" s="19">
        <f t="shared" si="16"/>
        <v>6</v>
      </c>
      <c r="BA9" s="19">
        <f t="shared" si="17"/>
        <v>6</v>
      </c>
      <c r="BB9" s="19">
        <f t="shared" si="18"/>
        <v>6</v>
      </c>
      <c r="BC9" s="20">
        <f t="shared" si="19"/>
        <v>7</v>
      </c>
    </row>
    <row r="10" spans="1:55" s="24" customFormat="1" x14ac:dyDescent="0.3">
      <c r="A10" s="211" t="s">
        <v>34</v>
      </c>
      <c r="B10" s="212">
        <v>848</v>
      </c>
      <c r="C10" s="213">
        <v>845</v>
      </c>
      <c r="D10" s="205" t="s">
        <v>99</v>
      </c>
      <c r="E10" s="49">
        <v>43861</v>
      </c>
      <c r="F10" s="311">
        <v>200</v>
      </c>
      <c r="G10" s="48">
        <v>200</v>
      </c>
      <c r="H10" s="55"/>
      <c r="I10" s="54"/>
      <c r="J10" s="48">
        <v>660</v>
      </c>
      <c r="K10" s="53"/>
      <c r="L10" s="54"/>
      <c r="M10" s="48">
        <v>470</v>
      </c>
      <c r="N10" s="55"/>
      <c r="O10" s="54"/>
      <c r="P10" s="48">
        <v>500</v>
      </c>
      <c r="Q10" s="55"/>
      <c r="R10" s="54"/>
      <c r="S10" s="48">
        <v>290</v>
      </c>
      <c r="T10" s="55"/>
      <c r="U10" s="54"/>
      <c r="V10" s="48">
        <v>230</v>
      </c>
      <c r="W10" s="55"/>
      <c r="X10" s="54"/>
      <c r="Y10" s="48">
        <v>330</v>
      </c>
      <c r="Z10" s="55"/>
      <c r="AA10" s="54"/>
      <c r="AB10" s="48">
        <v>150</v>
      </c>
      <c r="AC10" s="55"/>
      <c r="AD10" s="54"/>
      <c r="AE10" s="48">
        <v>190</v>
      </c>
      <c r="AF10" s="55"/>
      <c r="AG10" s="54"/>
      <c r="AH10" s="48">
        <v>260</v>
      </c>
      <c r="AI10" s="55"/>
      <c r="AJ10" s="22">
        <f t="shared" si="3"/>
        <v>104.46428571428572</v>
      </c>
      <c r="AK10" s="22">
        <f t="shared" si="4"/>
        <v>325</v>
      </c>
      <c r="AL10" s="22">
        <f t="shared" si="5"/>
        <v>243.75</v>
      </c>
      <c r="AM10" s="22">
        <f t="shared" si="5"/>
        <v>243.75</v>
      </c>
      <c r="AN10" s="22">
        <f t="shared" si="6"/>
        <v>147.72727272727275</v>
      </c>
      <c r="AO10" s="22">
        <f t="shared" si="7"/>
        <v>91.40625</v>
      </c>
      <c r="AP10" s="22">
        <f t="shared" si="8"/>
        <v>182.8125</v>
      </c>
      <c r="AQ10" s="22">
        <f t="shared" si="9"/>
        <v>91.40625</v>
      </c>
      <c r="AR10" s="22">
        <f t="shared" si="9"/>
        <v>91.40625</v>
      </c>
      <c r="AS10" s="23">
        <f t="shared" si="10"/>
        <v>162.5</v>
      </c>
      <c r="AT10" s="18">
        <f t="shared" si="1"/>
        <v>10</v>
      </c>
      <c r="AU10" s="19">
        <f t="shared" si="11"/>
        <v>10</v>
      </c>
      <c r="AV10" s="19">
        <f t="shared" si="12"/>
        <v>10</v>
      </c>
      <c r="AW10" s="19">
        <f t="shared" si="13"/>
        <v>10</v>
      </c>
      <c r="AX10" s="19">
        <f t="shared" si="14"/>
        <v>10</v>
      </c>
      <c r="AY10" s="19">
        <f t="shared" si="15"/>
        <v>13</v>
      </c>
      <c r="AZ10" s="19">
        <f t="shared" si="16"/>
        <v>9</v>
      </c>
      <c r="BA10" s="19">
        <f t="shared" si="17"/>
        <v>8</v>
      </c>
      <c r="BB10" s="19">
        <f t="shared" si="18"/>
        <v>10</v>
      </c>
      <c r="BC10" s="20">
        <f t="shared" si="19"/>
        <v>8</v>
      </c>
    </row>
    <row r="11" spans="1:55" s="24" customFormat="1" x14ac:dyDescent="0.3">
      <c r="A11" s="211" t="s">
        <v>103</v>
      </c>
      <c r="B11" s="212">
        <v>1549</v>
      </c>
      <c r="C11" s="213">
        <v>1543</v>
      </c>
      <c r="D11" s="205" t="s">
        <v>99</v>
      </c>
      <c r="E11" s="49">
        <v>43861</v>
      </c>
      <c r="F11" s="311">
        <v>140</v>
      </c>
      <c r="G11" s="48">
        <v>180</v>
      </c>
      <c r="H11" s="55"/>
      <c r="I11" s="54"/>
      <c r="J11" s="48">
        <v>580</v>
      </c>
      <c r="K11" s="53"/>
      <c r="L11" s="54"/>
      <c r="M11" s="48">
        <v>440</v>
      </c>
      <c r="N11" s="55"/>
      <c r="O11" s="54"/>
      <c r="P11" s="48">
        <v>436</v>
      </c>
      <c r="Q11" s="55"/>
      <c r="R11" s="54"/>
      <c r="S11" s="48">
        <v>263</v>
      </c>
      <c r="T11" s="55"/>
      <c r="U11" s="54"/>
      <c r="V11" s="48">
        <v>160</v>
      </c>
      <c r="W11" s="55"/>
      <c r="X11" s="54"/>
      <c r="Y11" s="48">
        <v>330</v>
      </c>
      <c r="Z11" s="55"/>
      <c r="AA11" s="54"/>
      <c r="AB11" s="48">
        <v>160</v>
      </c>
      <c r="AC11" s="55"/>
      <c r="AD11" s="54"/>
      <c r="AE11" s="48">
        <v>160</v>
      </c>
      <c r="AF11" s="55"/>
      <c r="AG11" s="54"/>
      <c r="AH11" s="48">
        <v>300</v>
      </c>
      <c r="AI11" s="55"/>
      <c r="AJ11" s="22">
        <f t="shared" si="3"/>
        <v>190.75549450549454</v>
      </c>
      <c r="AK11" s="22">
        <f t="shared" si="4"/>
        <v>593.46153846153857</v>
      </c>
      <c r="AL11" s="22">
        <f t="shared" si="5"/>
        <v>445.09615384615392</v>
      </c>
      <c r="AM11" s="22">
        <f t="shared" si="5"/>
        <v>445.09615384615392</v>
      </c>
      <c r="AN11" s="22">
        <f t="shared" si="6"/>
        <v>269.7552447552448</v>
      </c>
      <c r="AO11" s="22">
        <f t="shared" si="7"/>
        <v>166.91105769230771</v>
      </c>
      <c r="AP11" s="22">
        <f t="shared" si="8"/>
        <v>333.82211538461542</v>
      </c>
      <c r="AQ11" s="22">
        <f t="shared" si="9"/>
        <v>166.91105769230771</v>
      </c>
      <c r="AR11" s="22">
        <f t="shared" si="9"/>
        <v>166.91105769230771</v>
      </c>
      <c r="AS11" s="23">
        <f t="shared" si="10"/>
        <v>296.73076923076928</v>
      </c>
      <c r="AT11" s="18">
        <f t="shared" si="1"/>
        <v>5</v>
      </c>
      <c r="AU11" s="19">
        <f t="shared" si="11"/>
        <v>5</v>
      </c>
      <c r="AV11" s="19">
        <f t="shared" si="12"/>
        <v>5</v>
      </c>
      <c r="AW11" s="19">
        <f t="shared" si="13"/>
        <v>5</v>
      </c>
      <c r="AX11" s="19">
        <f t="shared" si="14"/>
        <v>5</v>
      </c>
      <c r="AY11" s="19">
        <f t="shared" si="15"/>
        <v>5</v>
      </c>
      <c r="AZ11" s="19">
        <f t="shared" si="16"/>
        <v>5</v>
      </c>
      <c r="BA11" s="19">
        <f t="shared" si="17"/>
        <v>5</v>
      </c>
      <c r="BB11" s="19">
        <f t="shared" si="18"/>
        <v>5</v>
      </c>
      <c r="BC11" s="20">
        <f t="shared" si="19"/>
        <v>5</v>
      </c>
    </row>
    <row r="12" spans="1:55" s="24" customFormat="1" x14ac:dyDescent="0.3">
      <c r="A12" s="211" t="s">
        <v>104</v>
      </c>
      <c r="B12" s="212">
        <v>2455</v>
      </c>
      <c r="C12" s="213">
        <v>2446</v>
      </c>
      <c r="D12" s="205" t="s">
        <v>99</v>
      </c>
      <c r="E12" s="49">
        <v>43861</v>
      </c>
      <c r="F12" s="311">
        <v>400</v>
      </c>
      <c r="G12" s="47">
        <v>400</v>
      </c>
      <c r="H12" s="51"/>
      <c r="I12" s="52"/>
      <c r="J12" s="48">
        <v>840</v>
      </c>
      <c r="K12" s="53"/>
      <c r="L12" s="54"/>
      <c r="M12" s="48">
        <v>780</v>
      </c>
      <c r="N12" s="55"/>
      <c r="O12" s="54"/>
      <c r="P12" s="48">
        <v>782</v>
      </c>
      <c r="Q12" s="55"/>
      <c r="R12" s="54"/>
      <c r="S12" s="48">
        <v>501</v>
      </c>
      <c r="T12" s="55"/>
      <c r="U12" s="54"/>
      <c r="V12" s="48">
        <v>260</v>
      </c>
      <c r="W12" s="55"/>
      <c r="X12" s="54"/>
      <c r="Y12" s="48">
        <v>660</v>
      </c>
      <c r="Z12" s="55"/>
      <c r="AA12" s="54"/>
      <c r="AB12" s="48">
        <v>310</v>
      </c>
      <c r="AC12" s="55"/>
      <c r="AD12" s="54"/>
      <c r="AE12" s="48">
        <v>210</v>
      </c>
      <c r="AF12" s="55"/>
      <c r="AG12" s="54"/>
      <c r="AH12" s="48">
        <v>310</v>
      </c>
      <c r="AI12" s="55"/>
      <c r="AJ12" s="22">
        <f t="shared" si="3"/>
        <v>302.3901098901099</v>
      </c>
      <c r="AK12" s="22">
        <f t="shared" si="4"/>
        <v>940.76923076923083</v>
      </c>
      <c r="AL12" s="22">
        <f t="shared" si="5"/>
        <v>705.57692307692321</v>
      </c>
      <c r="AM12" s="22">
        <f t="shared" si="5"/>
        <v>705.57692307692321</v>
      </c>
      <c r="AN12" s="22">
        <f t="shared" si="6"/>
        <v>427.62237762237766</v>
      </c>
      <c r="AO12" s="22">
        <f t="shared" si="7"/>
        <v>264.59134615384619</v>
      </c>
      <c r="AP12" s="22">
        <f t="shared" si="8"/>
        <v>529.18269230769238</v>
      </c>
      <c r="AQ12" s="22">
        <f t="shared" si="9"/>
        <v>264.59134615384619</v>
      </c>
      <c r="AR12" s="22">
        <f t="shared" si="9"/>
        <v>264.59134615384619</v>
      </c>
      <c r="AS12" s="23">
        <f t="shared" si="10"/>
        <v>470.38461538461542</v>
      </c>
      <c r="AT12" s="18">
        <f t="shared" si="1"/>
        <v>7</v>
      </c>
      <c r="AU12" s="19">
        <f t="shared" si="11"/>
        <v>4</v>
      </c>
      <c r="AV12" s="19">
        <f t="shared" si="12"/>
        <v>6</v>
      </c>
      <c r="AW12" s="19">
        <f t="shared" si="13"/>
        <v>6</v>
      </c>
      <c r="AX12" s="19">
        <f t="shared" si="14"/>
        <v>6</v>
      </c>
      <c r="AY12" s="19">
        <f t="shared" si="15"/>
        <v>5</v>
      </c>
      <c r="AZ12" s="19">
        <f t="shared" si="16"/>
        <v>6</v>
      </c>
      <c r="BA12" s="19">
        <f t="shared" si="17"/>
        <v>6</v>
      </c>
      <c r="BB12" s="19">
        <f t="shared" si="18"/>
        <v>4</v>
      </c>
      <c r="BC12" s="20">
        <f t="shared" si="19"/>
        <v>3</v>
      </c>
    </row>
    <row r="13" spans="1:55" x14ac:dyDescent="0.3">
      <c r="A13" s="211" t="s">
        <v>105</v>
      </c>
      <c r="B13" s="212">
        <v>6084</v>
      </c>
      <c r="C13" s="213">
        <v>6062</v>
      </c>
      <c r="D13" s="205" t="s">
        <v>99</v>
      </c>
      <c r="E13" s="49">
        <v>43861</v>
      </c>
      <c r="F13" s="311">
        <v>820</v>
      </c>
      <c r="G13" s="47">
        <v>740</v>
      </c>
      <c r="H13" s="51"/>
      <c r="I13" s="52"/>
      <c r="J13" s="48">
        <v>2280</v>
      </c>
      <c r="K13" s="53"/>
      <c r="L13" s="54"/>
      <c r="M13" s="48">
        <v>1710</v>
      </c>
      <c r="N13" s="55"/>
      <c r="O13" s="54"/>
      <c r="P13" s="48">
        <v>1720</v>
      </c>
      <c r="Q13" s="55"/>
      <c r="R13" s="54"/>
      <c r="S13" s="48">
        <v>1026</v>
      </c>
      <c r="T13" s="55"/>
      <c r="U13" s="54"/>
      <c r="V13" s="48">
        <v>570</v>
      </c>
      <c r="W13" s="55"/>
      <c r="X13" s="54"/>
      <c r="Y13" s="48">
        <v>1360</v>
      </c>
      <c r="Z13" s="55"/>
      <c r="AA13" s="54"/>
      <c r="AB13" s="48">
        <v>680</v>
      </c>
      <c r="AC13" s="55"/>
      <c r="AD13" s="54"/>
      <c r="AE13" s="48">
        <v>680</v>
      </c>
      <c r="AF13" s="55"/>
      <c r="AG13" s="54"/>
      <c r="AH13" s="48">
        <v>1170</v>
      </c>
      <c r="AI13" s="55"/>
      <c r="AJ13" s="22">
        <f t="shared" si="3"/>
        <v>749.42307692307691</v>
      </c>
      <c r="AK13" s="22">
        <f t="shared" si="4"/>
        <v>2331.5384615384619</v>
      </c>
      <c r="AL13" s="22">
        <f t="shared" si="5"/>
        <v>1748.6538461538464</v>
      </c>
      <c r="AM13" s="22">
        <f t="shared" si="5"/>
        <v>1748.6538461538464</v>
      </c>
      <c r="AN13" s="22">
        <f t="shared" si="6"/>
        <v>1059.7902097902099</v>
      </c>
      <c r="AO13" s="22">
        <f t="shared" si="7"/>
        <v>655.74519230769226</v>
      </c>
      <c r="AP13" s="22">
        <f t="shared" si="8"/>
        <v>1311.4903846153845</v>
      </c>
      <c r="AQ13" s="22">
        <f t="shared" si="9"/>
        <v>655.74519230769226</v>
      </c>
      <c r="AR13" s="22">
        <f t="shared" si="9"/>
        <v>655.74519230769226</v>
      </c>
      <c r="AS13" s="23">
        <f t="shared" si="10"/>
        <v>1165.7692307692309</v>
      </c>
      <c r="AT13" s="28">
        <f t="shared" si="1"/>
        <v>5</v>
      </c>
      <c r="AU13" s="29">
        <f t="shared" ref="AU13" si="20">ROUND(J13/(AK13/5),0)</f>
        <v>5</v>
      </c>
      <c r="AV13" s="29">
        <f t="shared" ref="AV13" si="21">ROUND(M13/(AL13/5),0)</f>
        <v>5</v>
      </c>
      <c r="AW13" s="29">
        <f t="shared" ref="AW13" si="22">ROUND(P13/(AM13/5),0)</f>
        <v>5</v>
      </c>
      <c r="AX13" s="29">
        <f t="shared" ref="AX13" si="23">ROUND(S13/(AN13/5),0)</f>
        <v>5</v>
      </c>
      <c r="AY13" s="29">
        <f t="shared" ref="AY13" si="24">ROUND(V13/(AO13/5),0)</f>
        <v>4</v>
      </c>
      <c r="AZ13" s="29">
        <f t="shared" ref="AZ13" si="25">ROUND(Y13/(AP13/5),0)</f>
        <v>5</v>
      </c>
      <c r="BA13" s="29">
        <f t="shared" ref="BA13" si="26">ROUND(AB13/(AQ13/5),0)</f>
        <v>5</v>
      </c>
      <c r="BB13" s="29">
        <f t="shared" ref="BB13" si="27">ROUND(AE13/(AR13/5),0)</f>
        <v>5</v>
      </c>
      <c r="BC13" s="30">
        <f t="shared" ref="BC13" si="28">ROUND(AH13/(AS13/5),0)</f>
        <v>5</v>
      </c>
    </row>
    <row r="14" spans="1:55" x14ac:dyDescent="0.3">
      <c r="A14" s="208" t="s">
        <v>85</v>
      </c>
      <c r="B14" s="209">
        <v>29213</v>
      </c>
      <c r="C14" s="210">
        <v>29184</v>
      </c>
      <c r="D14" s="205" t="s">
        <v>99</v>
      </c>
      <c r="E14" s="49">
        <v>43861</v>
      </c>
      <c r="F14" s="72">
        <v>0</v>
      </c>
      <c r="G14" s="73">
        <v>520</v>
      </c>
      <c r="H14" s="72">
        <v>0</v>
      </c>
      <c r="I14" s="74">
        <v>0</v>
      </c>
      <c r="J14" s="73">
        <v>240</v>
      </c>
      <c r="K14" s="75">
        <v>0</v>
      </c>
      <c r="L14" s="74">
        <v>0</v>
      </c>
      <c r="M14" s="73">
        <v>4570</v>
      </c>
      <c r="N14" s="72">
        <v>0</v>
      </c>
      <c r="O14" s="74"/>
      <c r="P14" s="73">
        <v>2400</v>
      </c>
      <c r="Q14" s="72">
        <v>0</v>
      </c>
      <c r="R14" s="74">
        <v>0</v>
      </c>
      <c r="S14" s="73">
        <v>1650</v>
      </c>
      <c r="T14" s="72">
        <v>0</v>
      </c>
      <c r="U14" s="74">
        <v>0</v>
      </c>
      <c r="V14" s="73">
        <v>670</v>
      </c>
      <c r="W14" s="72">
        <v>0</v>
      </c>
      <c r="X14" s="74">
        <v>0</v>
      </c>
      <c r="Y14" s="73">
        <v>16530</v>
      </c>
      <c r="Z14" s="72">
        <v>0</v>
      </c>
      <c r="AA14" s="74">
        <v>0</v>
      </c>
      <c r="AB14" s="73">
        <v>500</v>
      </c>
      <c r="AC14" s="72">
        <v>0</v>
      </c>
      <c r="AD14" s="74">
        <v>0</v>
      </c>
      <c r="AE14" s="73">
        <v>2000</v>
      </c>
      <c r="AF14" s="72">
        <v>0</v>
      </c>
      <c r="AG14" s="74">
        <v>0</v>
      </c>
      <c r="AH14" s="73">
        <v>2950</v>
      </c>
      <c r="AI14" s="72">
        <v>0</v>
      </c>
      <c r="AJ14" s="21">
        <f>((B14*0.9*1.43)/52)*15</f>
        <v>10845.32625</v>
      </c>
      <c r="AK14" s="21">
        <f>((C14*0.9*4*1.25)/52)*15</f>
        <v>37883.076923076922</v>
      </c>
      <c r="AL14" s="21">
        <f>((C14*0.9*3*1.11)/52)*15</f>
        <v>25230.129230769231</v>
      </c>
      <c r="AM14" s="21">
        <f>((C14*0.9*3*1.11)/52)*15</f>
        <v>25230.129230769231</v>
      </c>
      <c r="AN14" s="21">
        <f>((C14*0.9*2*1.05)/52)*15</f>
        <v>15910.892307692309</v>
      </c>
      <c r="AO14" s="21">
        <f>((C14*0.9*1*1.25)/52)*15</f>
        <v>9470.7692307692305</v>
      </c>
      <c r="AP14" s="21">
        <f>((C14*0.9*2*1.25)/52)*15</f>
        <v>18941.538461538461</v>
      </c>
      <c r="AQ14" s="21">
        <f>((C14*0.9*1*1.25)/52)*15</f>
        <v>9470.7692307692305</v>
      </c>
      <c r="AR14" s="21">
        <f>((C14*0.9*1*1.25)/52)*15</f>
        <v>9470.7692307692305</v>
      </c>
      <c r="AS14" s="21">
        <f>((B14*0.9*2*1.11)/52)*15</f>
        <v>16836.800192307695</v>
      </c>
      <c r="AT14" s="15">
        <f>ROUND(G14/(AJ14/15),0)</f>
        <v>1</v>
      </c>
      <c r="AU14" s="16">
        <f t="shared" ref="AU14" si="29">ROUND(J14/(AK14/15),0)</f>
        <v>0</v>
      </c>
      <c r="AV14" s="16">
        <f t="shared" ref="AV14" si="30">ROUND(M14/(AL14/15),0)</f>
        <v>3</v>
      </c>
      <c r="AW14" s="16">
        <f t="shared" ref="AW14" si="31">ROUND(P14/(AM14/15),0)</f>
        <v>1</v>
      </c>
      <c r="AX14" s="16">
        <f t="shared" ref="AX14" si="32">ROUND(S14/(AN14/15),0)</f>
        <v>2</v>
      </c>
      <c r="AY14" s="16">
        <f t="shared" ref="AY14" si="33">ROUND(V14/(AO14/15),0)</f>
        <v>1</v>
      </c>
      <c r="AZ14" s="16">
        <f t="shared" ref="AZ14" si="34">ROUND(Y14/(AP14/15),0)</f>
        <v>13</v>
      </c>
      <c r="BA14" s="16">
        <f t="shared" ref="BA14" si="35">ROUND(AB14/(AQ14/15),0)</f>
        <v>1</v>
      </c>
      <c r="BB14" s="16">
        <f t="shared" ref="BB14" si="36">ROUND(AE14/(AR14/15),0)</f>
        <v>3</v>
      </c>
      <c r="BC14" s="17">
        <f t="shared" ref="BC14" si="37">ROUND(AH14/(AS14/15),0)</f>
        <v>3</v>
      </c>
    </row>
    <row r="15" spans="1:55" x14ac:dyDescent="0.3">
      <c r="A15" s="211" t="s">
        <v>57</v>
      </c>
      <c r="B15" s="212">
        <v>4599</v>
      </c>
      <c r="C15" s="214">
        <v>4594</v>
      </c>
      <c r="D15" s="205" t="s">
        <v>99</v>
      </c>
      <c r="E15" s="49">
        <v>43861</v>
      </c>
      <c r="F15" s="72">
        <v>340</v>
      </c>
      <c r="G15" s="73">
        <v>180</v>
      </c>
      <c r="H15" s="72">
        <v>0</v>
      </c>
      <c r="I15" s="74">
        <v>1240</v>
      </c>
      <c r="J15" s="73">
        <v>600</v>
      </c>
      <c r="K15" s="75">
        <v>0</v>
      </c>
      <c r="L15" s="74">
        <v>900</v>
      </c>
      <c r="M15" s="73">
        <v>240</v>
      </c>
      <c r="N15" s="72">
        <v>0</v>
      </c>
      <c r="O15" s="74">
        <v>600</v>
      </c>
      <c r="P15" s="73">
        <v>248</v>
      </c>
      <c r="Q15" s="72">
        <v>0</v>
      </c>
      <c r="R15" s="74">
        <v>253</v>
      </c>
      <c r="S15" s="73">
        <v>277</v>
      </c>
      <c r="T15" s="72">
        <v>0</v>
      </c>
      <c r="U15" s="74">
        <v>430</v>
      </c>
      <c r="V15" s="73">
        <v>140</v>
      </c>
      <c r="W15" s="72">
        <v>0</v>
      </c>
      <c r="X15" s="74">
        <v>40</v>
      </c>
      <c r="Y15" s="73">
        <v>200</v>
      </c>
      <c r="Z15" s="72">
        <v>0</v>
      </c>
      <c r="AA15" s="74">
        <v>170</v>
      </c>
      <c r="AB15" s="73">
        <v>130</v>
      </c>
      <c r="AC15" s="72">
        <v>0</v>
      </c>
      <c r="AD15" s="74">
        <v>280</v>
      </c>
      <c r="AE15" s="73">
        <v>200</v>
      </c>
      <c r="AF15" s="72">
        <v>0</v>
      </c>
      <c r="AG15" s="74">
        <v>0</v>
      </c>
      <c r="AH15" s="73">
        <v>360</v>
      </c>
      <c r="AI15" s="72">
        <v>0</v>
      </c>
      <c r="AJ15" s="22">
        <f>(($C15*AJ$5*1*(1/(1-0.3)))/52)*5</f>
        <v>567.93956043956052</v>
      </c>
      <c r="AK15" s="22">
        <f>(($C15*AK$5*4*(1/(1-0.1)))/52)*5</f>
        <v>1766.9230769230774</v>
      </c>
      <c r="AL15" s="22">
        <f>(($C15*AL$5*3*(1/(1-0.1)))/52)*5</f>
        <v>1325.1923076923076</v>
      </c>
      <c r="AM15" s="22">
        <f>(($C15*AM$5*3*(1/(1-0.1)))/52)*5</f>
        <v>1325.1923076923076</v>
      </c>
      <c r="AN15" s="22">
        <f>(($C15*AN$5*2*(1/(1-0.01)))/52)*5</f>
        <v>803.14685314685323</v>
      </c>
      <c r="AO15" s="22">
        <f>(($C15*AO$5*1*(1/(1-0.2)))/52)*5</f>
        <v>496.94711538461542</v>
      </c>
      <c r="AP15" s="22">
        <f>(($C15*AP$5*2*(1/(1-0.2)))/52)*5</f>
        <v>993.89423076923083</v>
      </c>
      <c r="AQ15" s="22">
        <f>(($C15*AQ$5*1*(1/(1-0.2)))/52)*5</f>
        <v>496.94711538461542</v>
      </c>
      <c r="AR15" s="22">
        <f>(($C15*AR$5*1*(1/(1-0.2)))/52)*5</f>
        <v>496.94711538461542</v>
      </c>
      <c r="AS15" s="23">
        <f>(($C15*AS$5*2*(1/(1-0.1)))/52)*5</f>
        <v>883.46153846153868</v>
      </c>
      <c r="AT15" s="15">
        <f t="shared" ref="AT15:AT20" si="38">ROUND(G15/(AJ15/5),0)</f>
        <v>2</v>
      </c>
      <c r="AU15" s="16">
        <f t="shared" ref="AU15" si="39">ROUND(J15/(AK15/5),0)</f>
        <v>2</v>
      </c>
      <c r="AV15" s="16">
        <f t="shared" ref="AV15" si="40">ROUND(M15/(AL15/5),0)</f>
        <v>1</v>
      </c>
      <c r="AW15" s="16">
        <f t="shared" ref="AW15" si="41">ROUND(P15/(AM15/5),0)</f>
        <v>1</v>
      </c>
      <c r="AX15" s="16">
        <f t="shared" ref="AX15" si="42">ROUND(S15/(AN15/5),0)</f>
        <v>2</v>
      </c>
      <c r="AY15" s="16">
        <f t="shared" ref="AY15" si="43">ROUND(V15/(AO15/5),0)</f>
        <v>1</v>
      </c>
      <c r="AZ15" s="16">
        <f t="shared" ref="AZ15" si="44">ROUND(Y15/(AP15/5),0)</f>
        <v>1</v>
      </c>
      <c r="BA15" s="16">
        <f t="shared" ref="BA15" si="45">ROUND(AB15/(AQ15/5),0)</f>
        <v>1</v>
      </c>
      <c r="BB15" s="16">
        <f t="shared" ref="BB15" si="46">ROUND(AE15/(AR15/5),0)</f>
        <v>2</v>
      </c>
      <c r="BC15" s="17">
        <f t="shared" ref="BC15" si="47">ROUND(AH15/(AS15/5),0)</f>
        <v>2</v>
      </c>
    </row>
    <row r="16" spans="1:55" x14ac:dyDescent="0.3">
      <c r="A16" s="211" t="s">
        <v>58</v>
      </c>
      <c r="B16" s="212">
        <v>7713</v>
      </c>
      <c r="C16" s="214">
        <v>7705</v>
      </c>
      <c r="D16" s="205" t="s">
        <v>99</v>
      </c>
      <c r="E16" s="49">
        <v>43861</v>
      </c>
      <c r="F16" s="72">
        <v>1000</v>
      </c>
      <c r="G16" s="73">
        <v>1000</v>
      </c>
      <c r="H16" s="72">
        <v>0</v>
      </c>
      <c r="I16" s="74">
        <v>600</v>
      </c>
      <c r="J16" s="73">
        <v>1300</v>
      </c>
      <c r="K16" s="75">
        <v>0</v>
      </c>
      <c r="L16" s="74">
        <v>3300</v>
      </c>
      <c r="M16" s="73">
        <v>3300</v>
      </c>
      <c r="N16" s="72">
        <v>0</v>
      </c>
      <c r="O16" s="74">
        <v>3000</v>
      </c>
      <c r="P16" s="73">
        <v>3000</v>
      </c>
      <c r="Q16" s="72">
        <v>0</v>
      </c>
      <c r="R16" s="74">
        <v>2618</v>
      </c>
      <c r="S16" s="73">
        <v>2618</v>
      </c>
      <c r="T16" s="72">
        <v>0</v>
      </c>
      <c r="U16" s="74">
        <v>900</v>
      </c>
      <c r="V16" s="73">
        <v>1050</v>
      </c>
      <c r="W16" s="72">
        <v>0</v>
      </c>
      <c r="X16" s="74">
        <v>1560</v>
      </c>
      <c r="Y16" s="73">
        <v>2620</v>
      </c>
      <c r="Z16" s="72">
        <v>0</v>
      </c>
      <c r="AA16" s="74">
        <v>1250</v>
      </c>
      <c r="AB16" s="73">
        <v>1310</v>
      </c>
      <c r="AC16" s="72">
        <v>0</v>
      </c>
      <c r="AD16" s="74">
        <v>1000</v>
      </c>
      <c r="AE16" s="73">
        <v>1030</v>
      </c>
      <c r="AF16" s="72">
        <v>0</v>
      </c>
      <c r="AG16" s="74">
        <v>1420</v>
      </c>
      <c r="AH16" s="73">
        <v>2680</v>
      </c>
      <c r="AI16" s="72">
        <v>0</v>
      </c>
      <c r="AJ16" s="22">
        <f t="shared" ref="AJ16:AJ20" si="48">(($C16*AJ$5*1*(1/(1-0.3)))/52)*5</f>
        <v>952.54120879120887</v>
      </c>
      <c r="AK16" s="22">
        <f t="shared" ref="AK16:AK20" si="49">(($C16*AK$5*4*(1/(1-0.1)))/52)*5</f>
        <v>2963.4615384615386</v>
      </c>
      <c r="AL16" s="22">
        <f t="shared" ref="AL16:AM20" si="50">(($C16*AL$5*3*(1/(1-0.1)))/52)*5</f>
        <v>2222.5961538461538</v>
      </c>
      <c r="AM16" s="22">
        <f t="shared" si="50"/>
        <v>2222.5961538461538</v>
      </c>
      <c r="AN16" s="22">
        <f t="shared" ref="AN16:AN20" si="51">(($C16*AN$5*2*(1/(1-0.01)))/52)*5</f>
        <v>1347.0279720279721</v>
      </c>
      <c r="AO16" s="22">
        <f t="shared" ref="AO16:AO20" si="52">(($C16*AO$5*1*(1/(1-0.2)))/52)*5</f>
        <v>833.47355769230774</v>
      </c>
      <c r="AP16" s="22">
        <f t="shared" ref="AP16:AP20" si="53">(($C16*AP$5*2*(1/(1-0.2)))/52)*5</f>
        <v>1666.9471153846155</v>
      </c>
      <c r="AQ16" s="22">
        <f t="shared" ref="AQ16:AR20" si="54">(($C16*AQ$5*1*(1/(1-0.2)))/52)*5</f>
        <v>833.47355769230774</v>
      </c>
      <c r="AR16" s="22">
        <f t="shared" si="54"/>
        <v>833.47355769230774</v>
      </c>
      <c r="AS16" s="23">
        <f t="shared" ref="AS16:AS20" si="55">(($C16*AS$5*2*(1/(1-0.1)))/52)*5</f>
        <v>1481.7307692307693</v>
      </c>
      <c r="AT16" s="15">
        <f t="shared" si="38"/>
        <v>5</v>
      </c>
      <c r="AU16" s="16">
        <f t="shared" ref="AU16:AU20" si="56">ROUND(J16/(AK16/5),0)</f>
        <v>2</v>
      </c>
      <c r="AV16" s="16">
        <f t="shared" ref="AV16:AV20" si="57">ROUND(M16/(AL16/5),0)</f>
        <v>7</v>
      </c>
      <c r="AW16" s="16">
        <f t="shared" ref="AW16:AW20" si="58">ROUND(P16/(AM16/5),0)</f>
        <v>7</v>
      </c>
      <c r="AX16" s="16">
        <f t="shared" ref="AX16:AX20" si="59">ROUND(S16/(AN16/5),0)</f>
        <v>10</v>
      </c>
      <c r="AY16" s="16">
        <f t="shared" ref="AY16:AY20" si="60">ROUND(V16/(AO16/5),0)</f>
        <v>6</v>
      </c>
      <c r="AZ16" s="16">
        <f t="shared" ref="AZ16:AZ20" si="61">ROUND(Y16/(AP16/5),0)</f>
        <v>8</v>
      </c>
      <c r="BA16" s="16">
        <f t="shared" ref="BA16:BA20" si="62">ROUND(AB16/(AQ16/5),0)</f>
        <v>8</v>
      </c>
      <c r="BB16" s="16">
        <f t="shared" ref="BB16:BB20" si="63">ROUND(AE16/(AR16/5),0)</f>
        <v>6</v>
      </c>
      <c r="BC16" s="17">
        <f t="shared" ref="BC16:BC20" si="64">ROUND(AH16/(AS16/5),0)</f>
        <v>9</v>
      </c>
    </row>
    <row r="17" spans="1:55" x14ac:dyDescent="0.3">
      <c r="A17" s="211" t="s">
        <v>59</v>
      </c>
      <c r="B17" s="212">
        <v>4104</v>
      </c>
      <c r="C17" s="214">
        <v>4100</v>
      </c>
      <c r="D17" s="205" t="s">
        <v>99</v>
      </c>
      <c r="E17" s="49">
        <v>43861</v>
      </c>
      <c r="F17" s="72">
        <v>1080</v>
      </c>
      <c r="G17" s="73">
        <v>1100</v>
      </c>
      <c r="H17" s="72">
        <v>0</v>
      </c>
      <c r="I17" s="74">
        <v>1300</v>
      </c>
      <c r="J17" s="73">
        <v>2820</v>
      </c>
      <c r="K17" s="75">
        <v>0</v>
      </c>
      <c r="L17" s="74">
        <v>2390</v>
      </c>
      <c r="M17" s="73">
        <v>2420</v>
      </c>
      <c r="N17" s="72">
        <v>0</v>
      </c>
      <c r="O17" s="74">
        <v>2484</v>
      </c>
      <c r="P17" s="73">
        <v>2564</v>
      </c>
      <c r="Q17" s="72">
        <v>0</v>
      </c>
      <c r="R17" s="74">
        <v>1742</v>
      </c>
      <c r="S17" s="73">
        <v>1792</v>
      </c>
      <c r="T17" s="72">
        <v>0</v>
      </c>
      <c r="U17" s="74">
        <v>500</v>
      </c>
      <c r="V17" s="73">
        <v>620</v>
      </c>
      <c r="W17" s="72">
        <v>0</v>
      </c>
      <c r="X17" s="74">
        <v>1500</v>
      </c>
      <c r="Y17" s="73">
        <v>2460</v>
      </c>
      <c r="Z17" s="72">
        <v>0</v>
      </c>
      <c r="AA17" s="74">
        <v>710</v>
      </c>
      <c r="AB17" s="73">
        <v>770</v>
      </c>
      <c r="AC17" s="72">
        <v>0</v>
      </c>
      <c r="AD17" s="74">
        <v>800</v>
      </c>
      <c r="AE17" s="73">
        <v>960</v>
      </c>
      <c r="AF17" s="72">
        <v>0</v>
      </c>
      <c r="AG17" s="74">
        <v>1000</v>
      </c>
      <c r="AH17" s="73">
        <v>1490</v>
      </c>
      <c r="AI17" s="72">
        <v>0</v>
      </c>
      <c r="AJ17" s="22">
        <f t="shared" si="48"/>
        <v>506.86813186813191</v>
      </c>
      <c r="AK17" s="22">
        <f t="shared" si="49"/>
        <v>1576.9230769230767</v>
      </c>
      <c r="AL17" s="22">
        <f t="shared" si="50"/>
        <v>1182.6923076923076</v>
      </c>
      <c r="AM17" s="22">
        <f t="shared" si="50"/>
        <v>1182.6923076923076</v>
      </c>
      <c r="AN17" s="22">
        <f t="shared" si="51"/>
        <v>716.78321678321686</v>
      </c>
      <c r="AO17" s="22">
        <f t="shared" si="52"/>
        <v>443.50961538461542</v>
      </c>
      <c r="AP17" s="22">
        <f t="shared" si="53"/>
        <v>887.01923076923083</v>
      </c>
      <c r="AQ17" s="22">
        <f t="shared" si="54"/>
        <v>443.50961538461542</v>
      </c>
      <c r="AR17" s="22">
        <f t="shared" si="54"/>
        <v>443.50961538461542</v>
      </c>
      <c r="AS17" s="23">
        <f t="shared" si="55"/>
        <v>788.46153846153834</v>
      </c>
      <c r="AT17" s="15">
        <f t="shared" si="38"/>
        <v>11</v>
      </c>
      <c r="AU17" s="16">
        <f t="shared" si="56"/>
        <v>9</v>
      </c>
      <c r="AV17" s="16">
        <f t="shared" si="57"/>
        <v>10</v>
      </c>
      <c r="AW17" s="16">
        <f t="shared" si="58"/>
        <v>11</v>
      </c>
      <c r="AX17" s="16">
        <f t="shared" si="59"/>
        <v>13</v>
      </c>
      <c r="AY17" s="16">
        <f t="shared" si="60"/>
        <v>7</v>
      </c>
      <c r="AZ17" s="16">
        <f t="shared" si="61"/>
        <v>14</v>
      </c>
      <c r="BA17" s="16">
        <f t="shared" si="62"/>
        <v>9</v>
      </c>
      <c r="BB17" s="16">
        <f t="shared" si="63"/>
        <v>11</v>
      </c>
      <c r="BC17" s="17">
        <f t="shared" si="64"/>
        <v>9</v>
      </c>
    </row>
    <row r="18" spans="1:55" x14ac:dyDescent="0.3">
      <c r="A18" s="211" t="s">
        <v>60</v>
      </c>
      <c r="B18" s="212">
        <v>6362</v>
      </c>
      <c r="C18" s="214">
        <v>6356</v>
      </c>
      <c r="D18" s="205" t="s">
        <v>99</v>
      </c>
      <c r="E18" s="49">
        <v>43861</v>
      </c>
      <c r="F18" s="72">
        <v>400</v>
      </c>
      <c r="G18" s="73">
        <v>400</v>
      </c>
      <c r="H18" s="72">
        <v>0</v>
      </c>
      <c r="I18" s="74">
        <v>600</v>
      </c>
      <c r="J18" s="73">
        <v>1220</v>
      </c>
      <c r="K18" s="75">
        <v>0</v>
      </c>
      <c r="L18" s="74">
        <v>1130</v>
      </c>
      <c r="M18" s="73">
        <v>1130</v>
      </c>
      <c r="N18" s="72">
        <v>0</v>
      </c>
      <c r="O18" s="74">
        <v>1128</v>
      </c>
      <c r="P18" s="73">
        <v>1128</v>
      </c>
      <c r="Q18" s="72">
        <v>0</v>
      </c>
      <c r="R18" s="74">
        <v>1110</v>
      </c>
      <c r="S18" s="73">
        <v>1322</v>
      </c>
      <c r="T18" s="72">
        <v>0</v>
      </c>
      <c r="U18" s="74">
        <v>670</v>
      </c>
      <c r="V18" s="73">
        <v>790</v>
      </c>
      <c r="W18" s="72">
        <v>0</v>
      </c>
      <c r="X18" s="74">
        <v>890</v>
      </c>
      <c r="Y18" s="73">
        <v>1750</v>
      </c>
      <c r="Z18" s="72">
        <v>0</v>
      </c>
      <c r="AA18" s="74">
        <v>710</v>
      </c>
      <c r="AB18" s="73">
        <v>770</v>
      </c>
      <c r="AC18" s="72">
        <v>0</v>
      </c>
      <c r="AD18" s="74">
        <v>700</v>
      </c>
      <c r="AE18" s="73">
        <v>860</v>
      </c>
      <c r="AF18" s="72">
        <v>0</v>
      </c>
      <c r="AG18" s="74">
        <v>1100</v>
      </c>
      <c r="AH18" s="73">
        <v>1590</v>
      </c>
      <c r="AI18" s="72">
        <v>0</v>
      </c>
      <c r="AJ18" s="22">
        <f t="shared" si="48"/>
        <v>785.76923076923083</v>
      </c>
      <c r="AK18" s="22">
        <f t="shared" si="49"/>
        <v>2444.6153846153852</v>
      </c>
      <c r="AL18" s="22">
        <f t="shared" si="50"/>
        <v>1833.4615384615383</v>
      </c>
      <c r="AM18" s="22">
        <f t="shared" si="50"/>
        <v>1833.4615384615383</v>
      </c>
      <c r="AN18" s="22">
        <f t="shared" si="51"/>
        <v>1111.1888111888113</v>
      </c>
      <c r="AO18" s="22">
        <f t="shared" si="52"/>
        <v>687.54807692307713</v>
      </c>
      <c r="AP18" s="22">
        <f t="shared" si="53"/>
        <v>1375.0961538461543</v>
      </c>
      <c r="AQ18" s="22">
        <f t="shared" si="54"/>
        <v>687.54807692307713</v>
      </c>
      <c r="AR18" s="22">
        <f t="shared" si="54"/>
        <v>687.54807692307713</v>
      </c>
      <c r="AS18" s="23">
        <f t="shared" si="55"/>
        <v>1222.3076923076926</v>
      </c>
      <c r="AT18" s="15">
        <f t="shared" si="38"/>
        <v>3</v>
      </c>
      <c r="AU18" s="16">
        <f t="shared" si="56"/>
        <v>2</v>
      </c>
      <c r="AV18" s="16">
        <f t="shared" si="57"/>
        <v>3</v>
      </c>
      <c r="AW18" s="16">
        <f t="shared" si="58"/>
        <v>3</v>
      </c>
      <c r="AX18" s="16">
        <f t="shared" si="59"/>
        <v>6</v>
      </c>
      <c r="AY18" s="16">
        <f t="shared" si="60"/>
        <v>6</v>
      </c>
      <c r="AZ18" s="16">
        <f t="shared" si="61"/>
        <v>6</v>
      </c>
      <c r="BA18" s="16">
        <f t="shared" si="62"/>
        <v>6</v>
      </c>
      <c r="BB18" s="16">
        <f t="shared" si="63"/>
        <v>6</v>
      </c>
      <c r="BC18" s="17">
        <f t="shared" si="64"/>
        <v>7</v>
      </c>
    </row>
    <row r="19" spans="1:55" x14ac:dyDescent="0.3">
      <c r="A19" s="211" t="s">
        <v>61</v>
      </c>
      <c r="B19" s="212">
        <v>2506</v>
      </c>
      <c r="C19" s="214">
        <v>2503</v>
      </c>
      <c r="D19" s="205" t="s">
        <v>99</v>
      </c>
      <c r="E19" s="49">
        <v>43861</v>
      </c>
      <c r="F19" s="76">
        <v>300</v>
      </c>
      <c r="G19" s="77">
        <v>120</v>
      </c>
      <c r="H19" s="76">
        <v>0</v>
      </c>
      <c r="I19" s="78">
        <v>1000</v>
      </c>
      <c r="J19" s="77">
        <v>1400</v>
      </c>
      <c r="K19" s="79">
        <v>0</v>
      </c>
      <c r="L19" s="78">
        <v>700</v>
      </c>
      <c r="M19" s="77">
        <v>800</v>
      </c>
      <c r="N19" s="76">
        <v>0</v>
      </c>
      <c r="O19" s="78">
        <v>700</v>
      </c>
      <c r="P19" s="77">
        <v>668</v>
      </c>
      <c r="Q19" s="76">
        <v>0</v>
      </c>
      <c r="R19" s="78">
        <v>450</v>
      </c>
      <c r="S19" s="77">
        <v>525</v>
      </c>
      <c r="T19" s="76">
        <v>0</v>
      </c>
      <c r="U19" s="78">
        <v>230</v>
      </c>
      <c r="V19" s="77">
        <v>500</v>
      </c>
      <c r="W19" s="76">
        <v>0</v>
      </c>
      <c r="X19" s="78">
        <v>550</v>
      </c>
      <c r="Y19" s="77">
        <v>360</v>
      </c>
      <c r="Z19" s="76">
        <v>0</v>
      </c>
      <c r="AA19" s="78">
        <v>280</v>
      </c>
      <c r="AB19" s="77">
        <v>350</v>
      </c>
      <c r="AC19" s="76">
        <v>0</v>
      </c>
      <c r="AD19" s="78">
        <v>280</v>
      </c>
      <c r="AE19" s="77">
        <v>310</v>
      </c>
      <c r="AF19" s="76">
        <v>0</v>
      </c>
      <c r="AG19" s="78">
        <v>490</v>
      </c>
      <c r="AH19" s="77">
        <v>900</v>
      </c>
      <c r="AI19" s="76">
        <v>0</v>
      </c>
      <c r="AJ19" s="22">
        <f t="shared" si="48"/>
        <v>309.43681318681325</v>
      </c>
      <c r="AK19" s="22">
        <f t="shared" si="49"/>
        <v>962.69230769230785</v>
      </c>
      <c r="AL19" s="22">
        <f t="shared" si="50"/>
        <v>722.01923076923083</v>
      </c>
      <c r="AM19" s="22">
        <f t="shared" si="50"/>
        <v>722.01923076923083</v>
      </c>
      <c r="AN19" s="22">
        <f t="shared" si="51"/>
        <v>437.5874125874127</v>
      </c>
      <c r="AO19" s="22">
        <f t="shared" si="52"/>
        <v>270.75721153846155</v>
      </c>
      <c r="AP19" s="22">
        <f t="shared" si="53"/>
        <v>541.51442307692309</v>
      </c>
      <c r="AQ19" s="22">
        <f t="shared" si="54"/>
        <v>270.75721153846155</v>
      </c>
      <c r="AR19" s="22">
        <f t="shared" si="54"/>
        <v>270.75721153846155</v>
      </c>
      <c r="AS19" s="23">
        <f t="shared" si="55"/>
        <v>481.34615384615392</v>
      </c>
      <c r="AT19" s="15">
        <f t="shared" si="38"/>
        <v>2</v>
      </c>
      <c r="AU19" s="16">
        <f t="shared" si="56"/>
        <v>7</v>
      </c>
      <c r="AV19" s="16">
        <f t="shared" si="57"/>
        <v>6</v>
      </c>
      <c r="AW19" s="16">
        <f t="shared" si="58"/>
        <v>5</v>
      </c>
      <c r="AX19" s="16">
        <f t="shared" si="59"/>
        <v>6</v>
      </c>
      <c r="AY19" s="16">
        <f t="shared" si="60"/>
        <v>9</v>
      </c>
      <c r="AZ19" s="16">
        <f t="shared" si="61"/>
        <v>3</v>
      </c>
      <c r="BA19" s="16">
        <f t="shared" si="62"/>
        <v>6</v>
      </c>
      <c r="BB19" s="16">
        <f t="shared" si="63"/>
        <v>6</v>
      </c>
      <c r="BC19" s="17">
        <f t="shared" si="64"/>
        <v>9</v>
      </c>
    </row>
    <row r="20" spans="1:55" x14ac:dyDescent="0.3">
      <c r="A20" s="211" t="s">
        <v>62</v>
      </c>
      <c r="B20" s="212">
        <v>3929</v>
      </c>
      <c r="C20" s="214">
        <v>3925</v>
      </c>
      <c r="D20" s="205" t="s">
        <v>99</v>
      </c>
      <c r="E20" s="49">
        <v>43861</v>
      </c>
      <c r="F20" s="72">
        <v>400</v>
      </c>
      <c r="G20" s="73">
        <v>60</v>
      </c>
      <c r="H20" s="72">
        <v>0</v>
      </c>
      <c r="I20" s="74">
        <v>1500</v>
      </c>
      <c r="J20" s="73">
        <v>1460</v>
      </c>
      <c r="K20" s="75">
        <v>0</v>
      </c>
      <c r="L20" s="74">
        <v>1000</v>
      </c>
      <c r="M20" s="73">
        <v>390</v>
      </c>
      <c r="N20" s="72">
        <v>0</v>
      </c>
      <c r="O20" s="74">
        <v>1000</v>
      </c>
      <c r="P20" s="73">
        <v>400</v>
      </c>
      <c r="Q20" s="72">
        <v>0</v>
      </c>
      <c r="R20" s="74">
        <v>0</v>
      </c>
      <c r="S20" s="73">
        <v>50</v>
      </c>
      <c r="T20" s="72">
        <v>0</v>
      </c>
      <c r="U20" s="74">
        <v>400</v>
      </c>
      <c r="V20" s="73">
        <v>50</v>
      </c>
      <c r="W20" s="72">
        <v>0</v>
      </c>
      <c r="X20" s="74">
        <v>0</v>
      </c>
      <c r="Y20" s="73">
        <v>830</v>
      </c>
      <c r="Z20" s="72">
        <v>0</v>
      </c>
      <c r="AA20" s="74">
        <v>0</v>
      </c>
      <c r="AB20" s="73">
        <v>40</v>
      </c>
      <c r="AC20" s="72">
        <v>0</v>
      </c>
      <c r="AD20" s="74">
        <v>0</v>
      </c>
      <c r="AE20" s="73">
        <v>190</v>
      </c>
      <c r="AF20" s="72">
        <v>0</v>
      </c>
      <c r="AG20" s="74">
        <v>0</v>
      </c>
      <c r="AH20" s="73">
        <v>330</v>
      </c>
      <c r="AI20" s="72">
        <v>0</v>
      </c>
      <c r="AJ20" s="22">
        <f t="shared" si="48"/>
        <v>485.2335164835165</v>
      </c>
      <c r="AK20" s="22">
        <f t="shared" si="49"/>
        <v>1509.6153846153845</v>
      </c>
      <c r="AL20" s="22">
        <f t="shared" si="50"/>
        <v>1132.2115384615383</v>
      </c>
      <c r="AM20" s="22">
        <f t="shared" si="50"/>
        <v>1132.2115384615383</v>
      </c>
      <c r="AN20" s="22">
        <f t="shared" si="51"/>
        <v>686.1888111888112</v>
      </c>
      <c r="AO20" s="22">
        <f t="shared" si="52"/>
        <v>424.57932692307691</v>
      </c>
      <c r="AP20" s="22">
        <f t="shared" si="53"/>
        <v>849.15865384615381</v>
      </c>
      <c r="AQ20" s="22">
        <f t="shared" si="54"/>
        <v>424.57932692307691</v>
      </c>
      <c r="AR20" s="22">
        <f t="shared" si="54"/>
        <v>424.57932692307691</v>
      </c>
      <c r="AS20" s="23">
        <f t="shared" si="55"/>
        <v>754.80769230769226</v>
      </c>
      <c r="AT20" s="31">
        <f t="shared" si="38"/>
        <v>1</v>
      </c>
      <c r="AU20" s="32">
        <f t="shared" si="56"/>
        <v>5</v>
      </c>
      <c r="AV20" s="32">
        <f t="shared" si="57"/>
        <v>2</v>
      </c>
      <c r="AW20" s="32">
        <f t="shared" si="58"/>
        <v>2</v>
      </c>
      <c r="AX20" s="32">
        <f t="shared" si="59"/>
        <v>0</v>
      </c>
      <c r="AY20" s="32">
        <f t="shared" si="60"/>
        <v>1</v>
      </c>
      <c r="AZ20" s="32">
        <f t="shared" si="61"/>
        <v>5</v>
      </c>
      <c r="BA20" s="32">
        <f t="shared" si="62"/>
        <v>0</v>
      </c>
      <c r="BB20" s="32">
        <f t="shared" si="63"/>
        <v>2</v>
      </c>
      <c r="BC20" s="33">
        <f t="shared" si="64"/>
        <v>2</v>
      </c>
    </row>
    <row r="21" spans="1:55" x14ac:dyDescent="0.3">
      <c r="A21" s="208" t="s">
        <v>91</v>
      </c>
      <c r="B21" s="215">
        <v>125879</v>
      </c>
      <c r="C21" s="216">
        <v>123834</v>
      </c>
      <c r="D21" s="205" t="s">
        <v>99</v>
      </c>
      <c r="E21" s="49">
        <v>43861</v>
      </c>
      <c r="F21" s="318">
        <v>0</v>
      </c>
      <c r="G21" s="58">
        <v>7260</v>
      </c>
      <c r="H21" s="59"/>
      <c r="I21" s="60"/>
      <c r="J21" s="58">
        <v>52580</v>
      </c>
      <c r="K21" s="61"/>
      <c r="L21" s="60"/>
      <c r="M21" s="58">
        <v>32090</v>
      </c>
      <c r="N21" s="59"/>
      <c r="O21" s="60"/>
      <c r="P21" s="58">
        <v>33128</v>
      </c>
      <c r="Q21" s="59"/>
      <c r="R21" s="60"/>
      <c r="S21" s="58">
        <v>19614</v>
      </c>
      <c r="T21" s="59"/>
      <c r="U21" s="60"/>
      <c r="V21" s="58">
        <v>8500</v>
      </c>
      <c r="W21" s="59"/>
      <c r="X21" s="60"/>
      <c r="Y21" s="58">
        <v>44230</v>
      </c>
      <c r="Z21" s="59"/>
      <c r="AA21" s="60"/>
      <c r="AB21" s="58">
        <v>12920</v>
      </c>
      <c r="AC21" s="59"/>
      <c r="AD21" s="60"/>
      <c r="AE21" s="58">
        <v>3160</v>
      </c>
      <c r="AF21" s="59"/>
      <c r="AG21" s="60"/>
      <c r="AH21" s="58">
        <v>15060</v>
      </c>
      <c r="AI21" s="59"/>
      <c r="AJ21" s="21">
        <f>((B21*0.9*1.43)/52)*15</f>
        <v>46732.578750000001</v>
      </c>
      <c r="AK21" s="21">
        <f>((C21*0.9*4*1.25)/52)*15</f>
        <v>160746.05769230769</v>
      </c>
      <c r="AL21" s="21">
        <f>((C21*0.9*3*1.11)/52)*15</f>
        <v>107056.87442307695</v>
      </c>
      <c r="AM21" s="21">
        <f>((C21*0.9*3*1.11)/52)*15</f>
        <v>107056.87442307695</v>
      </c>
      <c r="AN21" s="21">
        <f>((C21*0.9*2*1.05)/52)*15</f>
        <v>67513.344230769231</v>
      </c>
      <c r="AO21" s="21">
        <f>((C21*0.9*1*1.25)/52)*15</f>
        <v>40186.514423076922</v>
      </c>
      <c r="AP21" s="21">
        <f>((C21*0.9*2*1.25)/52)*15</f>
        <v>80373.028846153844</v>
      </c>
      <c r="AQ21" s="21">
        <f>((C21*0.9*1*1.25)/52)*15</f>
        <v>40186.514423076922</v>
      </c>
      <c r="AR21" s="21">
        <f>((C21*0.9*1*1.25)/52)*15</f>
        <v>40186.514423076922</v>
      </c>
      <c r="AS21" s="21">
        <f>((B21*0.9*2*1.11)/52)*15</f>
        <v>72549.877500000002</v>
      </c>
      <c r="AT21" s="15">
        <f>ROUND(G21/(AJ21/15),0)</f>
        <v>2</v>
      </c>
      <c r="AU21" s="16">
        <f t="shared" ref="AU21" si="65">ROUND(J21/(AK21/15),0)</f>
        <v>5</v>
      </c>
      <c r="AV21" s="16">
        <f t="shared" ref="AV21" si="66">ROUND(M21/(AL21/15),0)</f>
        <v>4</v>
      </c>
      <c r="AW21" s="16">
        <f t="shared" ref="AW21" si="67">ROUND(P21/(AM21/15),0)</f>
        <v>5</v>
      </c>
      <c r="AX21" s="16">
        <f t="shared" ref="AX21" si="68">ROUND(S21/(AN21/15),0)</f>
        <v>4</v>
      </c>
      <c r="AY21" s="16">
        <f t="shared" ref="AY21" si="69">ROUND(V21/(AO21/15),0)</f>
        <v>3</v>
      </c>
      <c r="AZ21" s="16">
        <f t="shared" ref="AZ21" si="70">ROUND(Y21/(AP21/15),0)</f>
        <v>8</v>
      </c>
      <c r="BA21" s="16">
        <f t="shared" ref="BA21" si="71">ROUND(AB21/(AQ21/15),0)</f>
        <v>5</v>
      </c>
      <c r="BB21" s="16">
        <f t="shared" ref="BB21" si="72">ROUND(AE21/(AR21/15),0)</f>
        <v>1</v>
      </c>
      <c r="BC21" s="17">
        <f t="shared" ref="BC21" si="73">ROUND(AH21/(AS21/15),0)</f>
        <v>3</v>
      </c>
    </row>
    <row r="22" spans="1:55" x14ac:dyDescent="0.3">
      <c r="A22" s="211" t="s">
        <v>14</v>
      </c>
      <c r="B22" s="212">
        <v>14556</v>
      </c>
      <c r="C22" s="213">
        <v>14320</v>
      </c>
      <c r="D22" s="205" t="s">
        <v>99</v>
      </c>
      <c r="E22" s="49">
        <v>43861</v>
      </c>
      <c r="F22" s="312">
        <v>1360</v>
      </c>
      <c r="G22" s="48">
        <v>1500</v>
      </c>
      <c r="H22" s="55"/>
      <c r="I22" s="54"/>
      <c r="J22" s="48">
        <v>4360</v>
      </c>
      <c r="K22" s="53"/>
      <c r="L22" s="54"/>
      <c r="M22" s="48">
        <v>2820</v>
      </c>
      <c r="N22" s="55"/>
      <c r="O22" s="54"/>
      <c r="P22" s="48">
        <v>3048</v>
      </c>
      <c r="Q22" s="55"/>
      <c r="R22" s="54"/>
      <c r="S22" s="48">
        <v>1992</v>
      </c>
      <c r="T22" s="55"/>
      <c r="U22" s="54"/>
      <c r="V22" s="48">
        <v>850</v>
      </c>
      <c r="W22" s="55"/>
      <c r="X22" s="54"/>
      <c r="Y22" s="48">
        <v>2810</v>
      </c>
      <c r="Z22" s="55"/>
      <c r="AA22" s="54"/>
      <c r="AB22" s="48">
        <v>1260</v>
      </c>
      <c r="AC22" s="55"/>
      <c r="AD22" s="54"/>
      <c r="AE22" s="48">
        <v>1220</v>
      </c>
      <c r="AF22" s="55"/>
      <c r="AG22" s="54"/>
      <c r="AH22" s="48">
        <v>2530</v>
      </c>
      <c r="AI22" s="55"/>
      <c r="AJ22" s="22">
        <f>(($C22*AJ$5*1*(1/(1-0.3)))/52)*5</f>
        <v>1770.3296703296703</v>
      </c>
      <c r="AK22" s="22">
        <f>(($C22*AK$5*4*(1/(1-0.1)))/52)*5</f>
        <v>5507.6923076923067</v>
      </c>
      <c r="AL22" s="22">
        <f>(($C22*AL$5*3*(1/(1-0.1)))/52)*5</f>
        <v>4130.7692307692305</v>
      </c>
      <c r="AM22" s="22">
        <f>(($C22*AM$5*3*(1/(1-0.1)))/52)*5</f>
        <v>4130.7692307692305</v>
      </c>
      <c r="AN22" s="22">
        <f>(($C22*AN$5*2*(1/(1-0.01)))/52)*5</f>
        <v>2503.4965034965039</v>
      </c>
      <c r="AO22" s="22">
        <f>(($C22*AO$5*1*(1/(1-0.2)))/52)*5</f>
        <v>1549.0384615384617</v>
      </c>
      <c r="AP22" s="22">
        <f>(($C22*AP$5*2*(1/(1-0.2)))/52)*5</f>
        <v>3098.0769230769233</v>
      </c>
      <c r="AQ22" s="22">
        <f>(($C22*AQ$5*1*(1/(1-0.2)))/52)*5</f>
        <v>1549.0384615384617</v>
      </c>
      <c r="AR22" s="22">
        <f>(($C22*AR$5*1*(1/(1-0.2)))/52)*5</f>
        <v>1549.0384615384617</v>
      </c>
      <c r="AS22" s="23">
        <f>(($C22*AS$5*2*(1/(1-0.1)))/52)*5</f>
        <v>2753.8461538461534</v>
      </c>
      <c r="AT22" s="15">
        <f t="shared" ref="AT22:AT29" si="74">ROUND(G22/(AJ22/5),0)</f>
        <v>4</v>
      </c>
      <c r="AU22" s="16">
        <f t="shared" ref="AU22" si="75">ROUND(J22/(AK22/5),0)</f>
        <v>4</v>
      </c>
      <c r="AV22" s="16">
        <f t="shared" ref="AV22" si="76">ROUND(M22/(AL22/5),0)</f>
        <v>3</v>
      </c>
      <c r="AW22" s="16">
        <f t="shared" ref="AW22" si="77">ROUND(P22/(AM22/5),0)</f>
        <v>4</v>
      </c>
      <c r="AX22" s="16">
        <f t="shared" ref="AX22" si="78">ROUND(S22/(AN22/5),0)</f>
        <v>4</v>
      </c>
      <c r="AY22" s="16">
        <f t="shared" ref="AY22" si="79">ROUND(V22/(AO22/5),0)</f>
        <v>3</v>
      </c>
      <c r="AZ22" s="16">
        <f t="shared" ref="AZ22" si="80">ROUND(Y22/(AP22/5),0)</f>
        <v>5</v>
      </c>
      <c r="BA22" s="16">
        <f t="shared" ref="BA22" si="81">ROUND(AB22/(AQ22/5),0)</f>
        <v>4</v>
      </c>
      <c r="BB22" s="16">
        <f t="shared" ref="BB22" si="82">ROUND(AE22/(AR22/5),0)</f>
        <v>4</v>
      </c>
      <c r="BC22" s="17">
        <f t="shared" ref="BC22" si="83">ROUND(AH22/(AS22/5),0)</f>
        <v>5</v>
      </c>
    </row>
    <row r="23" spans="1:55" x14ac:dyDescent="0.3">
      <c r="A23" s="211" t="s">
        <v>15</v>
      </c>
      <c r="B23" s="212">
        <v>6317</v>
      </c>
      <c r="C23" s="213">
        <v>6214</v>
      </c>
      <c r="D23" s="205" t="s">
        <v>99</v>
      </c>
      <c r="E23" s="49">
        <v>43861</v>
      </c>
      <c r="F23" s="312">
        <v>760</v>
      </c>
      <c r="G23" s="48">
        <v>940</v>
      </c>
      <c r="H23" s="55"/>
      <c r="I23" s="54"/>
      <c r="J23" s="48">
        <v>2780</v>
      </c>
      <c r="K23" s="53"/>
      <c r="L23" s="54"/>
      <c r="M23" s="48">
        <v>2050</v>
      </c>
      <c r="N23" s="55"/>
      <c r="O23" s="54"/>
      <c r="P23" s="48">
        <v>2080</v>
      </c>
      <c r="Q23" s="55"/>
      <c r="R23" s="54"/>
      <c r="S23" s="48">
        <v>1343</v>
      </c>
      <c r="T23" s="55"/>
      <c r="U23" s="54"/>
      <c r="V23" s="48">
        <v>700</v>
      </c>
      <c r="W23" s="55"/>
      <c r="X23" s="54"/>
      <c r="Y23" s="48">
        <v>1650</v>
      </c>
      <c r="Z23" s="55"/>
      <c r="AA23" s="54"/>
      <c r="AB23" s="48">
        <v>830</v>
      </c>
      <c r="AC23" s="55"/>
      <c r="AD23" s="54"/>
      <c r="AE23" s="48">
        <v>830</v>
      </c>
      <c r="AF23" s="55"/>
      <c r="AG23" s="54"/>
      <c r="AH23" s="48">
        <v>1470</v>
      </c>
      <c r="AI23" s="55"/>
      <c r="AJ23" s="22">
        <f t="shared" ref="AJ23:AJ29" si="84">(($C23*AJ$5*1*(1/(1-0.3)))/52)*5</f>
        <v>768.21428571428578</v>
      </c>
      <c r="AK23" s="22">
        <f t="shared" ref="AK23:AK29" si="85">(($C23*AK$5*4*(1/(1-0.1)))/52)*5</f>
        <v>2390.0000000000005</v>
      </c>
      <c r="AL23" s="22">
        <f t="shared" ref="AL23:AM29" si="86">(($C23*AL$5*3*(1/(1-0.1)))/52)*5</f>
        <v>1792.5000000000002</v>
      </c>
      <c r="AM23" s="22">
        <f t="shared" si="86"/>
        <v>1792.5000000000002</v>
      </c>
      <c r="AN23" s="22">
        <f t="shared" ref="AN23:AN29" si="87">(($C23*AN$5*2*(1/(1-0.01)))/52)*5</f>
        <v>1086.3636363636365</v>
      </c>
      <c r="AO23" s="22">
        <f t="shared" ref="AO23:AO29" si="88">(($C23*AO$5*1*(1/(1-0.2)))/52)*5</f>
        <v>672.1875</v>
      </c>
      <c r="AP23" s="22">
        <f t="shared" ref="AP23:AP29" si="89">(($C23*AP$5*2*(1/(1-0.2)))/52)*5</f>
        <v>1344.375</v>
      </c>
      <c r="AQ23" s="22">
        <f t="shared" ref="AQ23:AR29" si="90">(($C23*AQ$5*1*(1/(1-0.2)))/52)*5</f>
        <v>672.1875</v>
      </c>
      <c r="AR23" s="22">
        <f t="shared" si="90"/>
        <v>672.1875</v>
      </c>
      <c r="AS23" s="23">
        <f t="shared" ref="AS23:AS29" si="91">(($C23*AS$5*2*(1/(1-0.1)))/52)*5</f>
        <v>1195.0000000000002</v>
      </c>
      <c r="AT23" s="15">
        <f t="shared" si="74"/>
        <v>6</v>
      </c>
      <c r="AU23" s="16">
        <f t="shared" ref="AU23:AU29" si="92">ROUND(J23/(AK23/5),0)</f>
        <v>6</v>
      </c>
      <c r="AV23" s="16">
        <f t="shared" ref="AV23:AV29" si="93">ROUND(M23/(AL23/5),0)</f>
        <v>6</v>
      </c>
      <c r="AW23" s="16">
        <f t="shared" ref="AW23:AW29" si="94">ROUND(P23/(AM23/5),0)</f>
        <v>6</v>
      </c>
      <c r="AX23" s="16">
        <f t="shared" ref="AX23:AX29" si="95">ROUND(S23/(AN23/5),0)</f>
        <v>6</v>
      </c>
      <c r="AY23" s="16">
        <f t="shared" ref="AY23:AY29" si="96">ROUND(V23/(AO23/5),0)</f>
        <v>5</v>
      </c>
      <c r="AZ23" s="16">
        <f>ROUND(Y23/(AP23/5),0)</f>
        <v>6</v>
      </c>
      <c r="BA23" s="16">
        <f t="shared" ref="BA23:BA29" si="97">ROUND(AB23/(AQ23/5),0)</f>
        <v>6</v>
      </c>
      <c r="BB23" s="16">
        <f t="shared" ref="BB23:BB29" si="98">ROUND(AE23/(AR23/5),0)</f>
        <v>6</v>
      </c>
      <c r="BC23" s="17">
        <f t="shared" ref="BC23:BC29" si="99">ROUND(AH23/(AS23/5),0)</f>
        <v>6</v>
      </c>
    </row>
    <row r="24" spans="1:55" ht="14.25" customHeight="1" x14ac:dyDescent="0.3">
      <c r="A24" s="211" t="s">
        <v>16</v>
      </c>
      <c r="B24" s="212">
        <v>28385</v>
      </c>
      <c r="C24" s="213">
        <v>27924</v>
      </c>
      <c r="D24" s="205" t="s">
        <v>99</v>
      </c>
      <c r="E24" s="49">
        <v>43861</v>
      </c>
      <c r="F24" s="312">
        <v>1860</v>
      </c>
      <c r="G24" s="48">
        <v>340</v>
      </c>
      <c r="H24" s="55"/>
      <c r="I24" s="54"/>
      <c r="J24" s="48">
        <v>1340</v>
      </c>
      <c r="K24" s="53"/>
      <c r="L24" s="54"/>
      <c r="M24" s="48">
        <v>460</v>
      </c>
      <c r="N24" s="55"/>
      <c r="O24" s="54"/>
      <c r="P24" s="48">
        <v>540</v>
      </c>
      <c r="Q24" s="55"/>
      <c r="R24" s="54"/>
      <c r="S24" s="48">
        <v>32</v>
      </c>
      <c r="T24" s="55"/>
      <c r="U24" s="54"/>
      <c r="V24" s="48">
        <v>1460</v>
      </c>
      <c r="W24" s="55"/>
      <c r="X24" s="54"/>
      <c r="Y24" s="48">
        <v>1870</v>
      </c>
      <c r="Z24" s="55"/>
      <c r="AA24" s="54"/>
      <c r="AB24" s="48">
        <v>2300</v>
      </c>
      <c r="AC24" s="55"/>
      <c r="AD24" s="54"/>
      <c r="AE24" s="48">
        <v>740</v>
      </c>
      <c r="AF24" s="55"/>
      <c r="AG24" s="54"/>
      <c r="AH24" s="48">
        <v>1620</v>
      </c>
      <c r="AI24" s="55"/>
      <c r="AJ24" s="22">
        <f t="shared" si="84"/>
        <v>3452.1428571428573</v>
      </c>
      <c r="AK24" s="22">
        <f t="shared" si="85"/>
        <v>10740.000000000002</v>
      </c>
      <c r="AL24" s="22">
        <f t="shared" si="86"/>
        <v>8055</v>
      </c>
      <c r="AM24" s="22">
        <f t="shared" si="86"/>
        <v>8055</v>
      </c>
      <c r="AN24" s="22">
        <f t="shared" si="87"/>
        <v>4881.818181818182</v>
      </c>
      <c r="AO24" s="22">
        <f t="shared" si="88"/>
        <v>3020.6250000000005</v>
      </c>
      <c r="AP24" s="22">
        <f t="shared" si="89"/>
        <v>6041.2500000000009</v>
      </c>
      <c r="AQ24" s="22">
        <f t="shared" si="90"/>
        <v>3020.6250000000005</v>
      </c>
      <c r="AR24" s="22">
        <f t="shared" si="90"/>
        <v>3020.6250000000005</v>
      </c>
      <c r="AS24" s="23">
        <f t="shared" si="91"/>
        <v>5370.0000000000009</v>
      </c>
      <c r="AT24" s="15">
        <f t="shared" si="74"/>
        <v>0</v>
      </c>
      <c r="AU24" s="16">
        <f t="shared" si="92"/>
        <v>1</v>
      </c>
      <c r="AV24" s="16">
        <f t="shared" si="93"/>
        <v>0</v>
      </c>
      <c r="AW24" s="16">
        <f t="shared" si="94"/>
        <v>0</v>
      </c>
      <c r="AX24" s="16">
        <f t="shared" si="95"/>
        <v>0</v>
      </c>
      <c r="AY24" s="16">
        <f>ROUND(V24/(AO24/5),0)</f>
        <v>2</v>
      </c>
      <c r="AZ24" s="16">
        <f t="shared" ref="AZ24:AZ29" si="100">ROUND(Y24/(AP24/5),0)</f>
        <v>2</v>
      </c>
      <c r="BA24" s="16">
        <f t="shared" si="97"/>
        <v>4</v>
      </c>
      <c r="BB24" s="16">
        <f t="shared" si="98"/>
        <v>1</v>
      </c>
      <c r="BC24" s="17">
        <f t="shared" si="99"/>
        <v>2</v>
      </c>
    </row>
    <row r="25" spans="1:55" ht="14.25" customHeight="1" x14ac:dyDescent="0.3">
      <c r="A25" s="211" t="s">
        <v>17</v>
      </c>
      <c r="B25" s="212">
        <v>29916</v>
      </c>
      <c r="C25" s="213">
        <v>29430</v>
      </c>
      <c r="D25" s="205" t="s">
        <v>99</v>
      </c>
      <c r="E25" s="49">
        <v>43861</v>
      </c>
      <c r="F25" s="312">
        <v>2800</v>
      </c>
      <c r="G25" s="48">
        <v>4040</v>
      </c>
      <c r="H25" s="55"/>
      <c r="I25" s="54"/>
      <c r="J25" s="48">
        <v>12340</v>
      </c>
      <c r="K25" s="53"/>
      <c r="L25" s="54"/>
      <c r="M25" s="48">
        <v>8960</v>
      </c>
      <c r="N25" s="55"/>
      <c r="O25" s="54"/>
      <c r="P25" s="48">
        <v>8960</v>
      </c>
      <c r="Q25" s="55"/>
      <c r="R25" s="54"/>
      <c r="S25" s="48">
        <v>5761</v>
      </c>
      <c r="T25" s="55"/>
      <c r="U25" s="54"/>
      <c r="V25" s="48">
        <v>3140</v>
      </c>
      <c r="W25" s="55"/>
      <c r="X25" s="54"/>
      <c r="Y25" s="48">
        <v>7220</v>
      </c>
      <c r="Z25" s="55"/>
      <c r="AA25" s="54"/>
      <c r="AB25" s="48">
        <v>3580</v>
      </c>
      <c r="AC25" s="55"/>
      <c r="AD25" s="54"/>
      <c r="AE25" s="48">
        <v>2180</v>
      </c>
      <c r="AF25" s="55"/>
      <c r="AG25" s="54"/>
      <c r="AH25" s="48">
        <v>6330</v>
      </c>
      <c r="AI25" s="55"/>
      <c r="AJ25" s="22">
        <f t="shared" si="84"/>
        <v>3638.3241758241757</v>
      </c>
      <c r="AK25" s="22">
        <f t="shared" si="85"/>
        <v>11319.23076923077</v>
      </c>
      <c r="AL25" s="22">
        <f t="shared" si="86"/>
        <v>8489.423076923078</v>
      </c>
      <c r="AM25" s="22">
        <f t="shared" si="86"/>
        <v>8489.423076923078</v>
      </c>
      <c r="AN25" s="22">
        <f t="shared" si="87"/>
        <v>5145.1048951048951</v>
      </c>
      <c r="AO25" s="22">
        <f t="shared" si="88"/>
        <v>3183.5336538461534</v>
      </c>
      <c r="AP25" s="22">
        <f t="shared" si="89"/>
        <v>6367.0673076923067</v>
      </c>
      <c r="AQ25" s="22">
        <f t="shared" si="90"/>
        <v>3183.5336538461534</v>
      </c>
      <c r="AR25" s="22">
        <f t="shared" si="90"/>
        <v>3183.5336538461534</v>
      </c>
      <c r="AS25" s="23">
        <f t="shared" si="91"/>
        <v>5659.6153846153848</v>
      </c>
      <c r="AT25" s="15">
        <f t="shared" si="74"/>
        <v>6</v>
      </c>
      <c r="AU25" s="16">
        <f t="shared" si="92"/>
        <v>5</v>
      </c>
      <c r="AV25" s="16">
        <f t="shared" si="93"/>
        <v>5</v>
      </c>
      <c r="AW25" s="16">
        <f t="shared" si="94"/>
        <v>5</v>
      </c>
      <c r="AX25" s="16">
        <f>ROUND(S25/(AN25/5),0)</f>
        <v>6</v>
      </c>
      <c r="AY25" s="16">
        <f t="shared" si="96"/>
        <v>5</v>
      </c>
      <c r="AZ25" s="16">
        <f t="shared" si="100"/>
        <v>6</v>
      </c>
      <c r="BA25" s="16">
        <f t="shared" si="97"/>
        <v>6</v>
      </c>
      <c r="BB25" s="16">
        <f t="shared" si="98"/>
        <v>3</v>
      </c>
      <c r="BC25" s="17">
        <f t="shared" si="99"/>
        <v>6</v>
      </c>
    </row>
    <row r="26" spans="1:55" ht="14.25" customHeight="1" x14ac:dyDescent="0.3">
      <c r="A26" s="211" t="s">
        <v>18</v>
      </c>
      <c r="B26" s="212">
        <v>5951</v>
      </c>
      <c r="C26" s="213">
        <v>5854</v>
      </c>
      <c r="D26" s="205" t="s">
        <v>99</v>
      </c>
      <c r="E26" s="49">
        <v>43861</v>
      </c>
      <c r="F26" s="312">
        <v>300</v>
      </c>
      <c r="G26" s="48">
        <v>740</v>
      </c>
      <c r="H26" s="55"/>
      <c r="I26" s="54"/>
      <c r="J26" s="48">
        <v>2360</v>
      </c>
      <c r="K26" s="53"/>
      <c r="L26" s="54"/>
      <c r="M26" s="48">
        <v>1760</v>
      </c>
      <c r="N26" s="55"/>
      <c r="O26" s="54"/>
      <c r="P26" s="48">
        <v>1708</v>
      </c>
      <c r="Q26" s="55"/>
      <c r="R26" s="54"/>
      <c r="S26" s="48">
        <v>1100</v>
      </c>
      <c r="T26" s="55"/>
      <c r="U26" s="54"/>
      <c r="V26" s="48">
        <v>540</v>
      </c>
      <c r="W26" s="55"/>
      <c r="X26" s="54"/>
      <c r="Y26" s="48">
        <v>1310</v>
      </c>
      <c r="Z26" s="55"/>
      <c r="AA26" s="54"/>
      <c r="AB26" s="48">
        <v>610</v>
      </c>
      <c r="AC26" s="55"/>
      <c r="AD26" s="54"/>
      <c r="AE26" s="48">
        <v>610</v>
      </c>
      <c r="AF26" s="55"/>
      <c r="AG26" s="54"/>
      <c r="AH26" s="48">
        <v>1230</v>
      </c>
      <c r="AI26" s="55"/>
      <c r="AJ26" s="22">
        <f t="shared" si="84"/>
        <v>723.70879120879124</v>
      </c>
      <c r="AK26" s="22">
        <f t="shared" si="85"/>
        <v>2251.5384615384619</v>
      </c>
      <c r="AL26" s="22">
        <f t="shared" si="86"/>
        <v>1688.6538461538464</v>
      </c>
      <c r="AM26" s="22">
        <f t="shared" si="86"/>
        <v>1688.6538461538464</v>
      </c>
      <c r="AN26" s="22">
        <f t="shared" si="87"/>
        <v>1023.4265734265737</v>
      </c>
      <c r="AO26" s="22">
        <f t="shared" si="88"/>
        <v>633.24519230769238</v>
      </c>
      <c r="AP26" s="22">
        <f t="shared" si="89"/>
        <v>1266.4903846153848</v>
      </c>
      <c r="AQ26" s="22">
        <f t="shared" si="90"/>
        <v>633.24519230769238</v>
      </c>
      <c r="AR26" s="22">
        <f t="shared" si="90"/>
        <v>633.24519230769238</v>
      </c>
      <c r="AS26" s="23">
        <f t="shared" si="91"/>
        <v>1125.7692307692309</v>
      </c>
      <c r="AT26" s="15">
        <f t="shared" si="74"/>
        <v>5</v>
      </c>
      <c r="AU26" s="16">
        <f t="shared" si="92"/>
        <v>5</v>
      </c>
      <c r="AV26" s="16">
        <f t="shared" si="93"/>
        <v>5</v>
      </c>
      <c r="AW26" s="16">
        <f t="shared" si="94"/>
        <v>5</v>
      </c>
      <c r="AX26" s="16">
        <f t="shared" si="95"/>
        <v>5</v>
      </c>
      <c r="AY26" s="16">
        <f t="shared" si="96"/>
        <v>4</v>
      </c>
      <c r="AZ26" s="16">
        <f t="shared" si="100"/>
        <v>5</v>
      </c>
      <c r="BA26" s="16">
        <f t="shared" si="97"/>
        <v>5</v>
      </c>
      <c r="BB26" s="16">
        <f t="shared" si="98"/>
        <v>5</v>
      </c>
      <c r="BC26" s="17">
        <f t="shared" si="99"/>
        <v>5</v>
      </c>
    </row>
    <row r="27" spans="1:55" ht="14.25" customHeight="1" x14ac:dyDescent="0.3">
      <c r="A27" s="211" t="s">
        <v>19</v>
      </c>
      <c r="B27" s="212">
        <v>15078</v>
      </c>
      <c r="C27" s="213">
        <v>14833</v>
      </c>
      <c r="D27" s="205" t="s">
        <v>99</v>
      </c>
      <c r="E27" s="49">
        <v>43861</v>
      </c>
      <c r="F27" s="312">
        <v>840</v>
      </c>
      <c r="G27" s="48">
        <v>1120</v>
      </c>
      <c r="H27" s="55"/>
      <c r="I27" s="54"/>
      <c r="J27" s="48">
        <v>8800</v>
      </c>
      <c r="K27" s="53"/>
      <c r="L27" s="54"/>
      <c r="M27" s="48">
        <v>2850</v>
      </c>
      <c r="N27" s="55"/>
      <c r="O27" s="54"/>
      <c r="P27" s="48">
        <v>2684</v>
      </c>
      <c r="Q27" s="55"/>
      <c r="R27" s="54"/>
      <c r="S27" s="48">
        <v>1707</v>
      </c>
      <c r="T27" s="55"/>
      <c r="U27" s="54"/>
      <c r="V27" s="48">
        <v>1020</v>
      </c>
      <c r="W27" s="55"/>
      <c r="X27" s="54"/>
      <c r="Y27" s="48">
        <v>2200</v>
      </c>
      <c r="Z27" s="55"/>
      <c r="AA27" s="54"/>
      <c r="AB27" s="48">
        <v>970</v>
      </c>
      <c r="AC27" s="55"/>
      <c r="AD27" s="54"/>
      <c r="AE27" s="48">
        <v>1010</v>
      </c>
      <c r="AF27" s="55"/>
      <c r="AG27" s="54"/>
      <c r="AH27" s="48">
        <v>1880</v>
      </c>
      <c r="AI27" s="55"/>
      <c r="AJ27" s="22">
        <f t="shared" si="84"/>
        <v>1833.75</v>
      </c>
      <c r="AK27" s="22">
        <f t="shared" si="85"/>
        <v>5705.0000000000009</v>
      </c>
      <c r="AL27" s="22">
        <f t="shared" si="86"/>
        <v>4278.7500000000009</v>
      </c>
      <c r="AM27" s="22">
        <f t="shared" si="86"/>
        <v>4278.7500000000009</v>
      </c>
      <c r="AN27" s="22">
        <f t="shared" si="87"/>
        <v>2593.1818181818189</v>
      </c>
      <c r="AO27" s="22">
        <f t="shared" si="88"/>
        <v>1604.53125</v>
      </c>
      <c r="AP27" s="22">
        <f t="shared" si="89"/>
        <v>3209.0625</v>
      </c>
      <c r="AQ27" s="22">
        <f t="shared" si="90"/>
        <v>1604.53125</v>
      </c>
      <c r="AR27" s="22">
        <f t="shared" si="90"/>
        <v>1604.53125</v>
      </c>
      <c r="AS27" s="23">
        <f t="shared" si="91"/>
        <v>2852.5000000000005</v>
      </c>
      <c r="AT27" s="15">
        <f t="shared" si="74"/>
        <v>3</v>
      </c>
      <c r="AU27" s="16">
        <f t="shared" si="92"/>
        <v>8</v>
      </c>
      <c r="AV27" s="16">
        <f t="shared" si="93"/>
        <v>3</v>
      </c>
      <c r="AW27" s="16">
        <f t="shared" si="94"/>
        <v>3</v>
      </c>
      <c r="AX27" s="16">
        <f t="shared" si="95"/>
        <v>3</v>
      </c>
      <c r="AY27" s="16">
        <f t="shared" si="96"/>
        <v>3</v>
      </c>
      <c r="AZ27" s="16">
        <f t="shared" si="100"/>
        <v>3</v>
      </c>
      <c r="BA27" s="16">
        <f t="shared" si="97"/>
        <v>3</v>
      </c>
      <c r="BB27" s="16">
        <f t="shared" si="98"/>
        <v>3</v>
      </c>
      <c r="BC27" s="17">
        <f t="shared" si="99"/>
        <v>3</v>
      </c>
    </row>
    <row r="28" spans="1:55" ht="14.25" customHeight="1" x14ac:dyDescent="0.3">
      <c r="A28" s="211" t="s">
        <v>20</v>
      </c>
      <c r="B28" s="212">
        <v>10116</v>
      </c>
      <c r="C28" s="213">
        <v>9951</v>
      </c>
      <c r="D28" s="205" t="s">
        <v>99</v>
      </c>
      <c r="E28" s="49">
        <v>43861</v>
      </c>
      <c r="F28" s="312">
        <v>460</v>
      </c>
      <c r="G28" s="48">
        <v>1300</v>
      </c>
      <c r="H28" s="55"/>
      <c r="I28" s="54"/>
      <c r="J28" s="48">
        <v>2630</v>
      </c>
      <c r="K28" s="53"/>
      <c r="L28" s="54"/>
      <c r="M28" s="48">
        <v>3130</v>
      </c>
      <c r="N28" s="55"/>
      <c r="O28" s="54"/>
      <c r="P28" s="48">
        <v>3132</v>
      </c>
      <c r="Q28" s="55"/>
      <c r="R28" s="54"/>
      <c r="S28" s="48">
        <v>2012</v>
      </c>
      <c r="T28" s="55"/>
      <c r="U28" s="54"/>
      <c r="V28" s="48">
        <v>1050</v>
      </c>
      <c r="W28" s="55"/>
      <c r="X28" s="54"/>
      <c r="Y28" s="48">
        <v>2490</v>
      </c>
      <c r="Z28" s="55"/>
      <c r="AA28" s="54"/>
      <c r="AB28" s="48">
        <v>1250</v>
      </c>
      <c r="AC28" s="55"/>
      <c r="AD28" s="54"/>
      <c r="AE28" s="48">
        <v>1140</v>
      </c>
      <c r="AF28" s="55"/>
      <c r="AG28" s="54"/>
      <c r="AH28" s="48">
        <v>2620</v>
      </c>
      <c r="AI28" s="55"/>
      <c r="AJ28" s="22">
        <f t="shared" si="84"/>
        <v>1230.2060439560439</v>
      </c>
      <c r="AK28" s="22">
        <f t="shared" si="85"/>
        <v>3827.3076923076924</v>
      </c>
      <c r="AL28" s="22">
        <f t="shared" si="86"/>
        <v>2870.4807692307691</v>
      </c>
      <c r="AM28" s="22">
        <f t="shared" si="86"/>
        <v>2870.4807692307691</v>
      </c>
      <c r="AN28" s="22">
        <f t="shared" si="87"/>
        <v>1739.6853146853146</v>
      </c>
      <c r="AO28" s="22">
        <f t="shared" si="88"/>
        <v>1076.4302884615383</v>
      </c>
      <c r="AP28" s="22">
        <f t="shared" si="89"/>
        <v>2152.8605769230767</v>
      </c>
      <c r="AQ28" s="22">
        <f t="shared" si="90"/>
        <v>1076.4302884615383</v>
      </c>
      <c r="AR28" s="22">
        <f t="shared" si="90"/>
        <v>1076.4302884615383</v>
      </c>
      <c r="AS28" s="23">
        <f t="shared" si="91"/>
        <v>1913.6538461538462</v>
      </c>
      <c r="AT28" s="15">
        <f t="shared" si="74"/>
        <v>5</v>
      </c>
      <c r="AU28" s="16">
        <f t="shared" si="92"/>
        <v>3</v>
      </c>
      <c r="AV28" s="16">
        <f t="shared" si="93"/>
        <v>5</v>
      </c>
      <c r="AW28" s="16">
        <f t="shared" si="94"/>
        <v>5</v>
      </c>
      <c r="AX28" s="16">
        <f t="shared" si="95"/>
        <v>6</v>
      </c>
      <c r="AY28" s="16">
        <f t="shared" si="96"/>
        <v>5</v>
      </c>
      <c r="AZ28" s="16">
        <f t="shared" si="100"/>
        <v>6</v>
      </c>
      <c r="BA28" s="16">
        <f t="shared" si="97"/>
        <v>6</v>
      </c>
      <c r="BB28" s="16">
        <f t="shared" si="98"/>
        <v>5</v>
      </c>
      <c r="BC28" s="17">
        <f t="shared" si="99"/>
        <v>7</v>
      </c>
    </row>
    <row r="29" spans="1:55" x14ac:dyDescent="0.3">
      <c r="A29" s="211" t="s">
        <v>79</v>
      </c>
      <c r="B29" s="212">
        <v>15560</v>
      </c>
      <c r="C29" s="213">
        <v>15307</v>
      </c>
      <c r="D29" s="205" t="s">
        <v>99</v>
      </c>
      <c r="E29" s="49">
        <v>43861</v>
      </c>
      <c r="F29" s="312">
        <v>1460</v>
      </c>
      <c r="G29" s="48">
        <v>1760</v>
      </c>
      <c r="H29" s="55"/>
      <c r="I29" s="54"/>
      <c r="J29" s="48">
        <v>5280</v>
      </c>
      <c r="K29" s="53"/>
      <c r="L29" s="54"/>
      <c r="M29" s="48">
        <v>3950</v>
      </c>
      <c r="N29" s="55"/>
      <c r="O29" s="54"/>
      <c r="P29" s="48">
        <v>3950</v>
      </c>
      <c r="Q29" s="55"/>
      <c r="R29" s="54"/>
      <c r="S29" s="48">
        <v>2533</v>
      </c>
      <c r="T29" s="55"/>
      <c r="U29" s="54"/>
      <c r="V29" s="48">
        <v>1320</v>
      </c>
      <c r="W29" s="55"/>
      <c r="X29" s="54"/>
      <c r="Y29" s="48">
        <v>3140</v>
      </c>
      <c r="Z29" s="55"/>
      <c r="AA29" s="54"/>
      <c r="AB29" s="48">
        <v>1570</v>
      </c>
      <c r="AC29" s="55"/>
      <c r="AD29" s="54"/>
      <c r="AE29" s="48">
        <v>1570</v>
      </c>
      <c r="AF29" s="55"/>
      <c r="AG29" s="54"/>
      <c r="AH29" s="48">
        <v>2780</v>
      </c>
      <c r="AI29" s="55"/>
      <c r="AJ29" s="22">
        <f t="shared" si="84"/>
        <v>1892.3489010989013</v>
      </c>
      <c r="AK29" s="22">
        <f t="shared" si="85"/>
        <v>5887.3076923076933</v>
      </c>
      <c r="AL29" s="22">
        <f t="shared" si="86"/>
        <v>4415.4807692307704</v>
      </c>
      <c r="AM29" s="22">
        <f t="shared" si="86"/>
        <v>4415.4807692307704</v>
      </c>
      <c r="AN29" s="22">
        <f t="shared" si="87"/>
        <v>2676.0489510489515</v>
      </c>
      <c r="AO29" s="22">
        <f t="shared" si="88"/>
        <v>1655.8052884615383</v>
      </c>
      <c r="AP29" s="22">
        <f t="shared" si="89"/>
        <v>3311.6105769230767</v>
      </c>
      <c r="AQ29" s="22">
        <f t="shared" si="90"/>
        <v>1655.8052884615383</v>
      </c>
      <c r="AR29" s="22">
        <f t="shared" si="90"/>
        <v>1655.8052884615383</v>
      </c>
      <c r="AS29" s="23">
        <f t="shared" si="91"/>
        <v>2943.6538461538466</v>
      </c>
      <c r="AT29" s="31">
        <f t="shared" si="74"/>
        <v>5</v>
      </c>
      <c r="AU29" s="32">
        <f t="shared" si="92"/>
        <v>4</v>
      </c>
      <c r="AV29" s="32">
        <f t="shared" si="93"/>
        <v>4</v>
      </c>
      <c r="AW29" s="32">
        <f t="shared" si="94"/>
        <v>4</v>
      </c>
      <c r="AX29" s="32">
        <f t="shared" si="95"/>
        <v>5</v>
      </c>
      <c r="AY29" s="32">
        <f t="shared" si="96"/>
        <v>4</v>
      </c>
      <c r="AZ29" s="32">
        <f t="shared" si="100"/>
        <v>5</v>
      </c>
      <c r="BA29" s="32">
        <f t="shared" si="97"/>
        <v>5</v>
      </c>
      <c r="BB29" s="32">
        <f t="shared" si="98"/>
        <v>5</v>
      </c>
      <c r="BC29" s="33">
        <f t="shared" si="99"/>
        <v>5</v>
      </c>
    </row>
    <row r="30" spans="1:55" x14ac:dyDescent="0.3">
      <c r="A30" s="208" t="s">
        <v>84</v>
      </c>
      <c r="B30" s="215">
        <v>228449</v>
      </c>
      <c r="C30" s="210">
        <v>226953</v>
      </c>
      <c r="D30" s="205" t="s">
        <v>99</v>
      </c>
      <c r="E30" s="49">
        <v>43861</v>
      </c>
      <c r="F30" s="56"/>
      <c r="G30" s="48">
        <v>0</v>
      </c>
      <c r="H30" s="55"/>
      <c r="I30" s="54"/>
      <c r="J30" s="48">
        <v>69000</v>
      </c>
      <c r="K30" s="53"/>
      <c r="L30" s="54"/>
      <c r="M30" s="48">
        <v>32900</v>
      </c>
      <c r="N30" s="55"/>
      <c r="O30" s="54"/>
      <c r="P30" s="48">
        <v>28400</v>
      </c>
      <c r="Q30" s="55"/>
      <c r="R30" s="54"/>
      <c r="S30" s="48">
        <v>24600</v>
      </c>
      <c r="T30" s="55"/>
      <c r="U30" s="54"/>
      <c r="V30" s="48">
        <v>21700</v>
      </c>
      <c r="W30" s="55"/>
      <c r="X30" s="54"/>
      <c r="Y30" s="48">
        <v>55000</v>
      </c>
      <c r="Z30" s="55"/>
      <c r="AA30" s="54"/>
      <c r="AB30" s="48">
        <v>7800</v>
      </c>
      <c r="AC30" s="55"/>
      <c r="AD30" s="54"/>
      <c r="AE30" s="48"/>
      <c r="AF30" s="55"/>
      <c r="AG30" s="54"/>
      <c r="AH30" s="48">
        <v>41500</v>
      </c>
      <c r="AI30" s="55"/>
      <c r="AJ30" s="21">
        <f>((B30*0.9*1.43)/52)*15</f>
        <v>84811.691250000003</v>
      </c>
      <c r="AK30" s="21">
        <f>((C30*0.9*4*1.25)/52)*15</f>
        <v>294602.45192307694</v>
      </c>
      <c r="AL30" s="21">
        <f>((C30*0.9*3*1.11)/52)*15</f>
        <v>196205.23298076927</v>
      </c>
      <c r="AM30" s="21">
        <f>((C30*0.9*3*1.11)/52)*15</f>
        <v>196205.23298076927</v>
      </c>
      <c r="AN30" s="21">
        <f>((C30*0.9*2*1.05)/52)*15</f>
        <v>123733.02980769234</v>
      </c>
      <c r="AO30" s="21">
        <f>((C30*0.9*1*1.25)/52)*15</f>
        <v>73650.612980769234</v>
      </c>
      <c r="AP30" s="21">
        <f>((C30*0.9*2*1.25)/52)*15</f>
        <v>147301.22596153847</v>
      </c>
      <c r="AQ30" s="21">
        <f>((C30*0.9*1*1.25)/52)*15</f>
        <v>73650.612980769234</v>
      </c>
      <c r="AR30" s="21">
        <f>((C30*0.9*1*1.25)/52)*15</f>
        <v>73650.612980769234</v>
      </c>
      <c r="AS30" s="21">
        <f>((B30*0.9*2*1.11)/52)*15</f>
        <v>131665.70250000001</v>
      </c>
      <c r="AT30" s="15">
        <f>ROUND(G30/(AJ30/15),0)</f>
        <v>0</v>
      </c>
      <c r="AU30" s="16">
        <f t="shared" ref="AU30" si="101">ROUND(J30/(AK30/15),0)</f>
        <v>4</v>
      </c>
      <c r="AV30" s="16">
        <f t="shared" ref="AV30" si="102">ROUND(M30/(AL30/15),0)</f>
        <v>3</v>
      </c>
      <c r="AW30" s="16">
        <f t="shared" ref="AW30" si="103">ROUND(P30/(AM30/15),0)</f>
        <v>2</v>
      </c>
      <c r="AX30" s="16">
        <f t="shared" ref="AX30" si="104">ROUND(S30/(AN30/15),0)</f>
        <v>3</v>
      </c>
      <c r="AY30" s="16">
        <f t="shared" ref="AY30" si="105">ROUND(V30/(AO30/15),0)</f>
        <v>4</v>
      </c>
      <c r="AZ30" s="16">
        <f t="shared" ref="AZ30" si="106">ROUND(Y30/(AP30/15),0)</f>
        <v>6</v>
      </c>
      <c r="BA30" s="16">
        <f t="shared" ref="BA30" si="107">ROUND(AB30/(AQ30/15),0)</f>
        <v>2</v>
      </c>
      <c r="BB30" s="16">
        <f t="shared" ref="BB30" si="108">ROUND(AE30/(AR30/15),0)</f>
        <v>0</v>
      </c>
      <c r="BC30" s="17">
        <f t="shared" ref="BC30" si="109">ROUND(AH30/(AS30/15),0)</f>
        <v>5</v>
      </c>
    </row>
    <row r="31" spans="1:55" x14ac:dyDescent="0.3">
      <c r="A31" s="211" t="s">
        <v>35</v>
      </c>
      <c r="B31" s="212">
        <v>16519</v>
      </c>
      <c r="C31" s="213">
        <v>16411</v>
      </c>
      <c r="D31" s="205" t="s">
        <v>99</v>
      </c>
      <c r="E31" s="49">
        <v>43861</v>
      </c>
      <c r="F31" s="56">
        <f>1880+1500</f>
        <v>3380</v>
      </c>
      <c r="G31" s="48">
        <v>2200</v>
      </c>
      <c r="H31" s="55"/>
      <c r="I31" s="54">
        <f>3880+3000+5180</f>
        <v>12060</v>
      </c>
      <c r="J31" s="48">
        <f>2080+5180</f>
        <v>7260</v>
      </c>
      <c r="K31" s="53"/>
      <c r="L31" s="54">
        <f>1940+3200+4100</f>
        <v>9240</v>
      </c>
      <c r="M31" s="48">
        <f>1320+4100</f>
        <v>5420</v>
      </c>
      <c r="N31" s="55"/>
      <c r="O31" s="54">
        <f>2592+2600+4188</f>
        <v>9380</v>
      </c>
      <c r="P31" s="48">
        <f>1252+4188</f>
        <v>5440</v>
      </c>
      <c r="Q31" s="55"/>
      <c r="R31" s="54"/>
      <c r="S31" s="48">
        <f>848+2762</f>
        <v>3610</v>
      </c>
      <c r="T31" s="55"/>
      <c r="U31" s="54">
        <f>610+1200+1460</f>
        <v>3270</v>
      </c>
      <c r="V31" s="48">
        <f>450+1460</f>
        <v>1910</v>
      </c>
      <c r="W31" s="55"/>
      <c r="X31" s="54">
        <f>2400+1500+2640</f>
        <v>6540</v>
      </c>
      <c r="Y31" s="48">
        <f>1750+2640</f>
        <v>4390</v>
      </c>
      <c r="Z31" s="55"/>
      <c r="AA31" s="54">
        <f>1400+1000+1020</f>
        <v>3420</v>
      </c>
      <c r="AB31" s="48">
        <f>1320+1020</f>
        <v>2340</v>
      </c>
      <c r="AC31" s="55"/>
      <c r="AD31" s="54"/>
      <c r="AE31" s="48">
        <f>0</f>
        <v>0</v>
      </c>
      <c r="AF31" s="55"/>
      <c r="AG31" s="54">
        <f>2592+2600+2170</f>
        <v>7362</v>
      </c>
      <c r="AH31" s="48">
        <f>1530+2170</f>
        <v>3700</v>
      </c>
      <c r="AI31" s="55"/>
      <c r="AJ31" s="22">
        <f>(($C31*AJ$5*1*(1/(1-0.3)))/52)*5</f>
        <v>2028.8324175824175</v>
      </c>
      <c r="AK31" s="22">
        <f>(($C31*AK$5*4*(1/(1-0.1)))/52)*5</f>
        <v>6311.9230769230771</v>
      </c>
      <c r="AL31" s="22">
        <f>(($C31*AL$5*3*(1/(1-0.1)))/52)*5</f>
        <v>4733.9423076923076</v>
      </c>
      <c r="AM31" s="22">
        <f>(($C31*AM$5*3*(1/(1-0.1)))/52)*5</f>
        <v>4733.9423076923076</v>
      </c>
      <c r="AN31" s="22">
        <f>(($C31*AN$5*2*(1/(1-0.01)))/52)*5</f>
        <v>2869.0559440559441</v>
      </c>
      <c r="AO31" s="22">
        <f>(($C31*AO$5*1*(1/(1-0.2)))/52)*5</f>
        <v>1775.2283653846155</v>
      </c>
      <c r="AP31" s="22">
        <f>(($C31*AP$5*2*(1/(1-0.2)))/52)*5</f>
        <v>3550.4567307692309</v>
      </c>
      <c r="AQ31" s="22">
        <f>(($C31*AQ$5*1*(1/(1-0.2)))/52)*5</f>
        <v>1775.2283653846155</v>
      </c>
      <c r="AR31" s="22">
        <f>(($C31*AR$5*1*(1/(1-0.2)))/52)*5</f>
        <v>1775.2283653846155</v>
      </c>
      <c r="AS31" s="23">
        <f>(($C31*AS$5*2*(1/(1-0.1)))/52)*5</f>
        <v>3155.9615384615386</v>
      </c>
      <c r="AT31" s="15">
        <f t="shared" ref="AT31:AT39" si="110">ROUND(G31/(AJ31/5),0)</f>
        <v>5</v>
      </c>
      <c r="AU31" s="16">
        <f t="shared" ref="AU31" si="111">ROUND(J31/(AK31/5),0)</f>
        <v>6</v>
      </c>
      <c r="AV31" s="16">
        <f t="shared" ref="AV31" si="112">ROUND(M31/(AL31/5),0)</f>
        <v>6</v>
      </c>
      <c r="AW31" s="16">
        <f t="shared" ref="AW31" si="113">ROUND(P31/(AM31/5),0)</f>
        <v>6</v>
      </c>
      <c r="AX31" s="16">
        <f t="shared" ref="AX31" si="114">ROUND(S31/(AN31/5),0)</f>
        <v>6</v>
      </c>
      <c r="AY31" s="16">
        <f t="shared" ref="AY31" si="115">ROUND(V31/(AO31/5),0)</f>
        <v>5</v>
      </c>
      <c r="AZ31" s="16">
        <f t="shared" ref="AZ31" si="116">ROUND(Y31/(AP31/5),0)</f>
        <v>6</v>
      </c>
      <c r="BA31" s="16">
        <f t="shared" ref="BA31" si="117">ROUND(AB31/(AQ31/5),0)</f>
        <v>7</v>
      </c>
      <c r="BB31" s="16">
        <f t="shared" ref="BB31" si="118">ROUND(AE31/(AR31/5),0)</f>
        <v>0</v>
      </c>
      <c r="BC31" s="17">
        <f t="shared" ref="BC31" si="119">ROUND(AH31/(AS31/5),0)</f>
        <v>6</v>
      </c>
    </row>
    <row r="32" spans="1:55" x14ac:dyDescent="0.3">
      <c r="A32" s="211" t="s">
        <v>36</v>
      </c>
      <c r="B32" s="212">
        <v>3510</v>
      </c>
      <c r="C32" s="213">
        <v>3487</v>
      </c>
      <c r="D32" s="205" t="s">
        <v>99</v>
      </c>
      <c r="E32" s="49">
        <v>43861</v>
      </c>
      <c r="F32" s="56">
        <f>200+1000</f>
        <v>1200</v>
      </c>
      <c r="G32" s="48">
        <v>720</v>
      </c>
      <c r="H32" s="55"/>
      <c r="I32" s="54">
        <f>20+1000</f>
        <v>1020</v>
      </c>
      <c r="J32" s="48">
        <v>1200</v>
      </c>
      <c r="K32" s="53"/>
      <c r="L32" s="54">
        <v>1000</v>
      </c>
      <c r="M32" s="48">
        <v>1050</v>
      </c>
      <c r="N32" s="55"/>
      <c r="O32" s="54">
        <v>1000</v>
      </c>
      <c r="P32" s="48">
        <v>852</v>
      </c>
      <c r="Q32" s="55"/>
      <c r="R32" s="54">
        <f>250+500</f>
        <v>750</v>
      </c>
      <c r="S32" s="48">
        <v>729</v>
      </c>
      <c r="T32" s="55"/>
      <c r="U32" s="54">
        <v>500</v>
      </c>
      <c r="V32" s="48">
        <v>350</v>
      </c>
      <c r="W32" s="55"/>
      <c r="X32" s="54">
        <f>430+500</f>
        <v>930</v>
      </c>
      <c r="Y32" s="48">
        <v>800</v>
      </c>
      <c r="Z32" s="55"/>
      <c r="AA32" s="54">
        <f>380+500</f>
        <v>880</v>
      </c>
      <c r="AB32" s="48">
        <v>470</v>
      </c>
      <c r="AC32" s="55"/>
      <c r="AD32" s="54">
        <f>180+500</f>
        <v>680</v>
      </c>
      <c r="AE32" s="48">
        <v>280</v>
      </c>
      <c r="AF32" s="55"/>
      <c r="AG32" s="54">
        <f>300+1000</f>
        <v>1300</v>
      </c>
      <c r="AH32" s="48">
        <v>780</v>
      </c>
      <c r="AI32" s="55"/>
      <c r="AJ32" s="22">
        <f t="shared" ref="AJ32:AJ39" si="120">(($C32*AJ$5*1*(1/(1-0.3)))/52)*5</f>
        <v>431.0851648351649</v>
      </c>
      <c r="AK32" s="22">
        <f t="shared" ref="AK32:AK39" si="121">(($C32*AK$5*4*(1/(1-0.1)))/52)*5</f>
        <v>1341.1538461538464</v>
      </c>
      <c r="AL32" s="22">
        <f t="shared" ref="AL32:AM39" si="122">(($C32*AL$5*3*(1/(1-0.1)))/52)*5</f>
        <v>1005.8653846153848</v>
      </c>
      <c r="AM32" s="22">
        <f t="shared" si="122"/>
        <v>1005.8653846153848</v>
      </c>
      <c r="AN32" s="22">
        <f t="shared" ref="AN32:AN39" si="123">(($C32*AN$5*2*(1/(1-0.01)))/52)*5</f>
        <v>609.61538461538464</v>
      </c>
      <c r="AO32" s="22">
        <f t="shared" ref="AO32:AO39" si="124">(($C32*AO$5*1*(1/(1-0.2)))/52)*5</f>
        <v>377.19951923076917</v>
      </c>
      <c r="AP32" s="22">
        <f t="shared" ref="AP32:AP39" si="125">(($C32*AP$5*2*(1/(1-0.2)))/52)*5</f>
        <v>754.39903846153834</v>
      </c>
      <c r="AQ32" s="22">
        <f t="shared" ref="AQ32:AR39" si="126">(($C32*AQ$5*1*(1/(1-0.2)))/52)*5</f>
        <v>377.19951923076917</v>
      </c>
      <c r="AR32" s="22">
        <f t="shared" si="126"/>
        <v>377.19951923076917</v>
      </c>
      <c r="AS32" s="23">
        <f t="shared" ref="AS32:AS39" si="127">(($C32*AS$5*2*(1/(1-0.1)))/52)*5</f>
        <v>670.57692307692321</v>
      </c>
      <c r="AT32" s="15">
        <f t="shared" si="110"/>
        <v>8</v>
      </c>
      <c r="AU32" s="16">
        <f t="shared" ref="AU32:AU39" si="128">ROUND(J32/(AK32/5),0)</f>
        <v>4</v>
      </c>
      <c r="AV32" s="16">
        <f t="shared" ref="AV32:AV39" si="129">ROUND(M32/(AL32/5),0)</f>
        <v>5</v>
      </c>
      <c r="AW32" s="16">
        <f t="shared" ref="AW32:AW39" si="130">ROUND(P32/(AM32/5),0)</f>
        <v>4</v>
      </c>
      <c r="AX32" s="16">
        <f t="shared" ref="AX32:AX39" si="131">ROUND(S32/(AN32/5),0)</f>
        <v>6</v>
      </c>
      <c r="AY32" s="16">
        <f t="shared" ref="AY32:AY39" si="132">ROUND(V32/(AO32/5),0)</f>
        <v>5</v>
      </c>
      <c r="AZ32" s="16">
        <f t="shared" ref="AZ32:AZ39" si="133">ROUND(Y32/(AP32/5),0)</f>
        <v>5</v>
      </c>
      <c r="BA32" s="16">
        <f t="shared" ref="BA32:BA39" si="134">ROUND(AB32/(AQ32/5),0)</f>
        <v>6</v>
      </c>
      <c r="BB32" s="16">
        <f t="shared" ref="BB32:BB39" si="135">ROUND(AE32/(AR32/5),0)</f>
        <v>4</v>
      </c>
      <c r="BC32" s="17">
        <f t="shared" ref="BC32:BC39" si="136">ROUND(AH32/(AS32/5),0)</f>
        <v>6</v>
      </c>
    </row>
    <row r="33" spans="1:55" x14ac:dyDescent="0.3">
      <c r="A33" s="211" t="s">
        <v>37</v>
      </c>
      <c r="B33" s="212">
        <v>42333</v>
      </c>
      <c r="C33" s="213">
        <v>42056</v>
      </c>
      <c r="D33" s="205" t="s">
        <v>99</v>
      </c>
      <c r="E33" s="49">
        <v>43861</v>
      </c>
      <c r="F33" s="56">
        <f>320+6000</f>
        <v>6320</v>
      </c>
      <c r="G33" s="48">
        <v>4740</v>
      </c>
      <c r="H33" s="55"/>
      <c r="I33" s="54">
        <f>2700+12000</f>
        <v>14700</v>
      </c>
      <c r="J33" s="48">
        <v>11480</v>
      </c>
      <c r="K33" s="53"/>
      <c r="L33" s="54">
        <f>1450+11800</f>
        <v>13250</v>
      </c>
      <c r="M33" s="48">
        <v>9880</v>
      </c>
      <c r="N33" s="55"/>
      <c r="O33" s="54">
        <f>2400+10400</f>
        <v>12800</v>
      </c>
      <c r="P33" s="48">
        <v>10612</v>
      </c>
      <c r="Q33" s="55"/>
      <c r="R33" s="54">
        <f>3300+6000</f>
        <v>9300</v>
      </c>
      <c r="S33" s="48">
        <v>9682</v>
      </c>
      <c r="T33" s="55"/>
      <c r="U33" s="54">
        <f>2060+3000</f>
        <v>5060</v>
      </c>
      <c r="V33" s="48">
        <v>4470</v>
      </c>
      <c r="W33" s="55"/>
      <c r="X33" s="54">
        <f>13260+7000</f>
        <v>20260</v>
      </c>
      <c r="Y33" s="48">
        <v>9090</v>
      </c>
      <c r="Z33" s="55"/>
      <c r="AA33" s="54">
        <f>1360+4500</f>
        <v>5860</v>
      </c>
      <c r="AB33" s="48">
        <v>4960</v>
      </c>
      <c r="AC33" s="55"/>
      <c r="AD33" s="54">
        <f>1900+1300</f>
        <v>3200</v>
      </c>
      <c r="AE33" s="48">
        <v>0</v>
      </c>
      <c r="AF33" s="55"/>
      <c r="AG33" s="54">
        <f>2410+7000</f>
        <v>9410</v>
      </c>
      <c r="AH33" s="48">
        <v>8240</v>
      </c>
      <c r="AI33" s="55"/>
      <c r="AJ33" s="22">
        <f t="shared" si="120"/>
        <v>5199.2307692307695</v>
      </c>
      <c r="AK33" s="22">
        <f t="shared" si="121"/>
        <v>16175.384615384613</v>
      </c>
      <c r="AL33" s="22">
        <f t="shared" si="122"/>
        <v>12131.538461538461</v>
      </c>
      <c r="AM33" s="22">
        <f t="shared" si="122"/>
        <v>12131.538461538461</v>
      </c>
      <c r="AN33" s="22">
        <f t="shared" si="123"/>
        <v>7352.4475524475547</v>
      </c>
      <c r="AO33" s="22">
        <f t="shared" si="124"/>
        <v>4549.3269230769229</v>
      </c>
      <c r="AP33" s="22">
        <f t="shared" si="125"/>
        <v>9098.6538461538457</v>
      </c>
      <c r="AQ33" s="22">
        <f t="shared" si="126"/>
        <v>4549.3269230769229</v>
      </c>
      <c r="AR33" s="22">
        <f t="shared" si="126"/>
        <v>4549.3269230769229</v>
      </c>
      <c r="AS33" s="23">
        <f t="shared" si="127"/>
        <v>8087.6923076923067</v>
      </c>
      <c r="AT33" s="15">
        <f t="shared" si="110"/>
        <v>5</v>
      </c>
      <c r="AU33" s="16">
        <f t="shared" si="128"/>
        <v>4</v>
      </c>
      <c r="AV33" s="16">
        <f t="shared" si="129"/>
        <v>4</v>
      </c>
      <c r="AW33" s="16">
        <f t="shared" si="130"/>
        <v>4</v>
      </c>
      <c r="AX33" s="16">
        <f t="shared" si="131"/>
        <v>7</v>
      </c>
      <c r="AY33" s="16">
        <f t="shared" si="132"/>
        <v>5</v>
      </c>
      <c r="AZ33" s="16">
        <f t="shared" si="133"/>
        <v>5</v>
      </c>
      <c r="BA33" s="16">
        <f t="shared" si="134"/>
        <v>5</v>
      </c>
      <c r="BB33" s="16">
        <f t="shared" si="135"/>
        <v>0</v>
      </c>
      <c r="BC33" s="17">
        <f t="shared" si="136"/>
        <v>5</v>
      </c>
    </row>
    <row r="34" spans="1:55" s="24" customFormat="1" x14ac:dyDescent="0.3">
      <c r="A34" s="211" t="s">
        <v>38</v>
      </c>
      <c r="B34" s="212">
        <v>10780</v>
      </c>
      <c r="C34" s="213">
        <v>10709</v>
      </c>
      <c r="D34" s="205" t="s">
        <v>99</v>
      </c>
      <c r="E34" s="49">
        <v>43861</v>
      </c>
      <c r="F34" s="56">
        <f>460+1000</f>
        <v>1460</v>
      </c>
      <c r="G34" s="48">
        <v>1000</v>
      </c>
      <c r="H34" s="55"/>
      <c r="I34" s="54">
        <f>1180+3000</f>
        <v>4180</v>
      </c>
      <c r="J34" s="48">
        <v>3780</v>
      </c>
      <c r="K34" s="53"/>
      <c r="L34" s="54">
        <f>1440+2000</f>
        <v>3440</v>
      </c>
      <c r="M34" s="48">
        <v>2310</v>
      </c>
      <c r="N34" s="55"/>
      <c r="O34" s="55">
        <f>1272+2200</f>
        <v>3472</v>
      </c>
      <c r="P34" s="48">
        <v>2920</v>
      </c>
      <c r="Q34" s="55"/>
      <c r="R34" s="54">
        <f>1229+1500</f>
        <v>2729</v>
      </c>
      <c r="S34" s="48">
        <v>1430</v>
      </c>
      <c r="T34" s="55"/>
      <c r="U34" s="54">
        <f>330+810</f>
        <v>1140</v>
      </c>
      <c r="V34" s="48">
        <v>1040</v>
      </c>
      <c r="W34" s="55"/>
      <c r="X34" s="54">
        <f>670+1000</f>
        <v>1670</v>
      </c>
      <c r="Y34" s="48">
        <v>1910</v>
      </c>
      <c r="Z34" s="55"/>
      <c r="AA34" s="54">
        <f>720+500</f>
        <v>1220</v>
      </c>
      <c r="AB34" s="48">
        <v>1040</v>
      </c>
      <c r="AC34" s="55"/>
      <c r="AD34" s="54">
        <f>430+0</f>
        <v>430</v>
      </c>
      <c r="AE34" s="48">
        <v>0</v>
      </c>
      <c r="AF34" s="55"/>
      <c r="AG34" s="54">
        <f>1060+1000</f>
        <v>2060</v>
      </c>
      <c r="AH34" s="48">
        <v>2310</v>
      </c>
      <c r="AI34" s="55"/>
      <c r="AJ34" s="22">
        <f t="shared" si="120"/>
        <v>1323.9148351648353</v>
      </c>
      <c r="AK34" s="22">
        <f t="shared" si="121"/>
        <v>4118.8461538461534</v>
      </c>
      <c r="AL34" s="22">
        <f t="shared" si="122"/>
        <v>3089.1346153846152</v>
      </c>
      <c r="AM34" s="22">
        <f t="shared" si="122"/>
        <v>3089.1346153846152</v>
      </c>
      <c r="AN34" s="22">
        <f t="shared" si="123"/>
        <v>1872.2027972027972</v>
      </c>
      <c r="AO34" s="22">
        <f t="shared" si="124"/>
        <v>1158.4254807692307</v>
      </c>
      <c r="AP34" s="22">
        <f t="shared" si="125"/>
        <v>2316.8509615384614</v>
      </c>
      <c r="AQ34" s="22">
        <f t="shared" si="126"/>
        <v>1158.4254807692307</v>
      </c>
      <c r="AR34" s="22">
        <f t="shared" si="126"/>
        <v>1158.4254807692307</v>
      </c>
      <c r="AS34" s="23">
        <f t="shared" si="127"/>
        <v>2059.4230769230767</v>
      </c>
      <c r="AT34" s="15">
        <f t="shared" si="110"/>
        <v>4</v>
      </c>
      <c r="AU34" s="16">
        <f t="shared" si="128"/>
        <v>5</v>
      </c>
      <c r="AV34" s="16">
        <f t="shared" si="129"/>
        <v>4</v>
      </c>
      <c r="AW34" s="16">
        <f t="shared" si="130"/>
        <v>5</v>
      </c>
      <c r="AX34" s="16">
        <f t="shared" si="131"/>
        <v>4</v>
      </c>
      <c r="AY34" s="16">
        <f t="shared" si="132"/>
        <v>4</v>
      </c>
      <c r="AZ34" s="16">
        <f t="shared" si="133"/>
        <v>4</v>
      </c>
      <c r="BA34" s="16">
        <f t="shared" si="134"/>
        <v>4</v>
      </c>
      <c r="BB34" s="16">
        <f t="shared" si="135"/>
        <v>0</v>
      </c>
      <c r="BC34" s="17">
        <f t="shared" si="136"/>
        <v>6</v>
      </c>
    </row>
    <row r="35" spans="1:55" s="24" customFormat="1" x14ac:dyDescent="0.3">
      <c r="A35" s="211" t="s">
        <v>39</v>
      </c>
      <c r="B35" s="212">
        <v>35168</v>
      </c>
      <c r="C35" s="213">
        <v>34937</v>
      </c>
      <c r="D35" s="205" t="s">
        <v>99</v>
      </c>
      <c r="E35" s="49">
        <v>43861</v>
      </c>
      <c r="F35" s="56">
        <f>200+5000</f>
        <v>5200</v>
      </c>
      <c r="G35" s="48">
        <v>20</v>
      </c>
      <c r="H35" s="55"/>
      <c r="I35" s="54">
        <f>9220+5000+14000</f>
        <v>28220</v>
      </c>
      <c r="J35" s="48">
        <f>1320+14000</f>
        <v>15320</v>
      </c>
      <c r="K35" s="53"/>
      <c r="L35" s="54">
        <f>100+10600+7800</f>
        <v>18500</v>
      </c>
      <c r="M35" s="48">
        <f>1670+7800</f>
        <v>9470</v>
      </c>
      <c r="N35" s="55"/>
      <c r="O35" s="48">
        <f>140+14400+4000</f>
        <v>18540</v>
      </c>
      <c r="P35" s="48">
        <f>5540+4000</f>
        <v>9540</v>
      </c>
      <c r="Q35" s="55"/>
      <c r="R35" s="48">
        <f>1250+6000+6500</f>
        <v>13750</v>
      </c>
      <c r="S35" s="48">
        <f>646+6500</f>
        <v>7146</v>
      </c>
      <c r="T35" s="55"/>
      <c r="U35" s="48">
        <f>1060+2500+3300</f>
        <v>6860</v>
      </c>
      <c r="V35" s="48">
        <f>390+3300</f>
        <v>3690</v>
      </c>
      <c r="W35" s="55"/>
      <c r="X35" s="48">
        <f>370+5500+6500</f>
        <v>12370</v>
      </c>
      <c r="Y35" s="48">
        <f>2510+6500</f>
        <v>9010</v>
      </c>
      <c r="Z35" s="55"/>
      <c r="AA35" s="48">
        <f>4170+1500+2500</f>
        <v>8170</v>
      </c>
      <c r="AB35" s="48">
        <f>1970+2500</f>
        <v>4470</v>
      </c>
      <c r="AC35" s="55"/>
      <c r="AD35" s="54">
        <f>1860+0</f>
        <v>1860</v>
      </c>
      <c r="AE35" s="48">
        <v>0</v>
      </c>
      <c r="AF35" s="55"/>
      <c r="AG35" s="48">
        <f>3340+4000+5500</f>
        <v>12840</v>
      </c>
      <c r="AH35" s="48">
        <f>2100+5500</f>
        <v>7600</v>
      </c>
      <c r="AI35" s="55"/>
      <c r="AJ35" s="22">
        <f t="shared" si="120"/>
        <v>4319.1346153846152</v>
      </c>
      <c r="AK35" s="22">
        <f t="shared" si="121"/>
        <v>13437.307692307693</v>
      </c>
      <c r="AL35" s="22">
        <f t="shared" si="122"/>
        <v>10077.98076923077</v>
      </c>
      <c r="AM35" s="22">
        <f t="shared" si="122"/>
        <v>10077.98076923077</v>
      </c>
      <c r="AN35" s="22">
        <f t="shared" si="123"/>
        <v>6107.8671328671326</v>
      </c>
      <c r="AO35" s="22">
        <f t="shared" si="124"/>
        <v>3779.2427884615386</v>
      </c>
      <c r="AP35" s="22">
        <f t="shared" si="125"/>
        <v>7558.4855769230771</v>
      </c>
      <c r="AQ35" s="22">
        <f t="shared" si="126"/>
        <v>3779.2427884615386</v>
      </c>
      <c r="AR35" s="22">
        <f t="shared" si="126"/>
        <v>3779.2427884615386</v>
      </c>
      <c r="AS35" s="23">
        <f t="shared" si="127"/>
        <v>6718.6538461538466</v>
      </c>
      <c r="AT35" s="15">
        <f t="shared" si="110"/>
        <v>0</v>
      </c>
      <c r="AU35" s="16">
        <f t="shared" si="128"/>
        <v>6</v>
      </c>
      <c r="AV35" s="16">
        <f t="shared" si="129"/>
        <v>5</v>
      </c>
      <c r="AW35" s="16">
        <f t="shared" si="130"/>
        <v>5</v>
      </c>
      <c r="AX35" s="16">
        <f t="shared" si="131"/>
        <v>6</v>
      </c>
      <c r="AY35" s="16">
        <f t="shared" si="132"/>
        <v>5</v>
      </c>
      <c r="AZ35" s="16">
        <f t="shared" si="133"/>
        <v>6</v>
      </c>
      <c r="BA35" s="16">
        <f t="shared" si="134"/>
        <v>6</v>
      </c>
      <c r="BB35" s="16">
        <f t="shared" si="135"/>
        <v>0</v>
      </c>
      <c r="BC35" s="17">
        <f t="shared" si="136"/>
        <v>6</v>
      </c>
    </row>
    <row r="36" spans="1:55" s="24" customFormat="1" x14ac:dyDescent="0.3">
      <c r="A36" s="211" t="s">
        <v>40</v>
      </c>
      <c r="B36" s="212">
        <v>30141</v>
      </c>
      <c r="C36" s="213">
        <v>29943</v>
      </c>
      <c r="D36" s="205" t="s">
        <v>99</v>
      </c>
      <c r="E36" s="49">
        <v>43861</v>
      </c>
      <c r="F36" s="56">
        <f>20+3000</f>
        <v>3020</v>
      </c>
      <c r="G36" s="48">
        <v>440</v>
      </c>
      <c r="H36" s="55"/>
      <c r="I36" s="54">
        <f>3460+6000+8000</f>
        <v>17460</v>
      </c>
      <c r="J36" s="48">
        <f>1700+8000</f>
        <v>9700</v>
      </c>
      <c r="K36" s="53"/>
      <c r="L36" s="54">
        <f>700+6000+6600</f>
        <v>13300</v>
      </c>
      <c r="M36" s="48">
        <f>1100+6600</f>
        <v>7700</v>
      </c>
      <c r="N36" s="55"/>
      <c r="O36" s="54">
        <f>1352+6000+6600</f>
        <v>13952</v>
      </c>
      <c r="P36" s="48">
        <f>1068+6600</f>
        <v>7668</v>
      </c>
      <c r="Q36" s="55"/>
      <c r="R36" s="54">
        <f>1300+3000+4300</f>
        <v>8600</v>
      </c>
      <c r="S36" s="48">
        <f>600+4300</f>
        <v>4900</v>
      </c>
      <c r="T36" s="55"/>
      <c r="U36" s="54">
        <f>800+2000+1500</f>
        <v>4300</v>
      </c>
      <c r="V36" s="48">
        <f>1000+1500</f>
        <v>2500</v>
      </c>
      <c r="W36" s="55"/>
      <c r="X36" s="54">
        <f>1840+4000+4500</f>
        <v>10340</v>
      </c>
      <c r="Y36" s="48">
        <f>1830+4500</f>
        <v>6330</v>
      </c>
      <c r="Z36" s="55"/>
      <c r="AA36" s="54">
        <f>1090+2000+2200</f>
        <v>5290</v>
      </c>
      <c r="AB36" s="48">
        <f>860+2200</f>
        <v>3060</v>
      </c>
      <c r="AC36" s="55"/>
      <c r="AD36" s="54">
        <f>40+0</f>
        <v>40</v>
      </c>
      <c r="AE36" s="48">
        <v>0</v>
      </c>
      <c r="AF36" s="55"/>
      <c r="AG36" s="54">
        <f>2250+2000+3000</f>
        <v>7250</v>
      </c>
      <c r="AH36" s="48">
        <f>1840+3000</f>
        <v>4840</v>
      </c>
      <c r="AI36" s="55"/>
      <c r="AJ36" s="22">
        <f t="shared" si="120"/>
        <v>3701.7445054945065</v>
      </c>
      <c r="AK36" s="22">
        <f t="shared" si="121"/>
        <v>11516.538461538461</v>
      </c>
      <c r="AL36" s="22">
        <f t="shared" si="122"/>
        <v>8637.4038461538476</v>
      </c>
      <c r="AM36" s="22">
        <f t="shared" si="122"/>
        <v>8637.4038461538476</v>
      </c>
      <c r="AN36" s="22">
        <f t="shared" si="123"/>
        <v>5234.7902097902097</v>
      </c>
      <c r="AO36" s="22">
        <f t="shared" si="124"/>
        <v>3239.0264423076924</v>
      </c>
      <c r="AP36" s="22">
        <f t="shared" si="125"/>
        <v>6478.0528846153848</v>
      </c>
      <c r="AQ36" s="22">
        <f t="shared" si="126"/>
        <v>3239.0264423076924</v>
      </c>
      <c r="AR36" s="22">
        <f t="shared" si="126"/>
        <v>3239.0264423076924</v>
      </c>
      <c r="AS36" s="23">
        <f t="shared" si="127"/>
        <v>5758.2692307692305</v>
      </c>
      <c r="AT36" s="15">
        <f t="shared" si="110"/>
        <v>1</v>
      </c>
      <c r="AU36" s="16">
        <f t="shared" si="128"/>
        <v>4</v>
      </c>
      <c r="AV36" s="16">
        <f t="shared" si="129"/>
        <v>4</v>
      </c>
      <c r="AW36" s="16">
        <f t="shared" si="130"/>
        <v>4</v>
      </c>
      <c r="AX36" s="16">
        <f t="shared" si="131"/>
        <v>5</v>
      </c>
      <c r="AY36" s="16">
        <f t="shared" si="132"/>
        <v>4</v>
      </c>
      <c r="AZ36" s="16">
        <f t="shared" si="133"/>
        <v>5</v>
      </c>
      <c r="BA36" s="16">
        <f t="shared" si="134"/>
        <v>5</v>
      </c>
      <c r="BB36" s="16">
        <f t="shared" si="135"/>
        <v>0</v>
      </c>
      <c r="BC36" s="17">
        <f t="shared" si="136"/>
        <v>4</v>
      </c>
    </row>
    <row r="37" spans="1:55" s="24" customFormat="1" x14ac:dyDescent="0.3">
      <c r="A37" s="211" t="s">
        <v>41</v>
      </c>
      <c r="B37" s="212">
        <v>17946</v>
      </c>
      <c r="C37" s="213">
        <v>17828</v>
      </c>
      <c r="D37" s="205" t="s">
        <v>99</v>
      </c>
      <c r="E37" s="49">
        <v>43861</v>
      </c>
      <c r="F37" s="56">
        <f>840+3000</f>
        <v>3840</v>
      </c>
      <c r="G37" s="48">
        <v>1340</v>
      </c>
      <c r="H37" s="55"/>
      <c r="I37" s="54">
        <f>500+7000</f>
        <v>7500</v>
      </c>
      <c r="J37" s="48">
        <f>2420+5000</f>
        <v>7420</v>
      </c>
      <c r="K37" s="53"/>
      <c r="L37" s="54">
        <f>1670+3500</f>
        <v>5170</v>
      </c>
      <c r="M37" s="48">
        <f>480+5200</f>
        <v>5680</v>
      </c>
      <c r="N37" s="55"/>
      <c r="O37" s="54">
        <f>1452+3400</f>
        <v>4852</v>
      </c>
      <c r="P37" s="48">
        <f>1000+4200</f>
        <v>5200</v>
      </c>
      <c r="Q37" s="55"/>
      <c r="R37" s="54">
        <f>850+2400</f>
        <v>3250</v>
      </c>
      <c r="S37" s="48">
        <f>900+2600</f>
        <v>3500</v>
      </c>
      <c r="T37" s="55"/>
      <c r="U37" s="54">
        <f>500+1500</f>
        <v>2000</v>
      </c>
      <c r="V37" s="48">
        <f>600+1000</f>
        <v>1600</v>
      </c>
      <c r="W37" s="55"/>
      <c r="X37" s="54">
        <f>2670+1500</f>
        <v>4170</v>
      </c>
      <c r="Y37" s="48">
        <v>4900</v>
      </c>
      <c r="Z37" s="55"/>
      <c r="AA37" s="54">
        <f>940+1000</f>
        <v>1940</v>
      </c>
      <c r="AB37" s="48">
        <f>1000+1500</f>
        <v>2500</v>
      </c>
      <c r="AC37" s="55"/>
      <c r="AD37" s="54">
        <f>610+1500</f>
        <v>2110</v>
      </c>
      <c r="AE37" s="48">
        <v>310</v>
      </c>
      <c r="AF37" s="55"/>
      <c r="AG37" s="54">
        <f>2460+1000</f>
        <v>3460</v>
      </c>
      <c r="AH37" s="48">
        <f>2230+1500</f>
        <v>3730</v>
      </c>
      <c r="AI37" s="55"/>
      <c r="AJ37" s="22">
        <f t="shared" si="120"/>
        <v>2204.0109890109893</v>
      </c>
      <c r="AK37" s="22">
        <f t="shared" si="121"/>
        <v>6856.9230769230771</v>
      </c>
      <c r="AL37" s="22">
        <f t="shared" si="122"/>
        <v>5142.6923076923085</v>
      </c>
      <c r="AM37" s="22">
        <f t="shared" si="122"/>
        <v>5142.6923076923085</v>
      </c>
      <c r="AN37" s="22">
        <f t="shared" si="123"/>
        <v>3116.7832167832171</v>
      </c>
      <c r="AO37" s="22">
        <f t="shared" si="124"/>
        <v>1928.5096153846155</v>
      </c>
      <c r="AP37" s="22">
        <f t="shared" si="125"/>
        <v>3857.0192307692309</v>
      </c>
      <c r="AQ37" s="22">
        <f t="shared" si="126"/>
        <v>1928.5096153846155</v>
      </c>
      <c r="AR37" s="22">
        <f t="shared" si="126"/>
        <v>1928.5096153846155</v>
      </c>
      <c r="AS37" s="23">
        <f t="shared" si="127"/>
        <v>3428.4615384615386</v>
      </c>
      <c r="AT37" s="15">
        <f t="shared" si="110"/>
        <v>3</v>
      </c>
      <c r="AU37" s="16">
        <f t="shared" si="128"/>
        <v>5</v>
      </c>
      <c r="AV37" s="16">
        <f t="shared" si="129"/>
        <v>6</v>
      </c>
      <c r="AW37" s="16">
        <f t="shared" si="130"/>
        <v>5</v>
      </c>
      <c r="AX37" s="16">
        <f t="shared" si="131"/>
        <v>6</v>
      </c>
      <c r="AY37" s="16">
        <f t="shared" si="132"/>
        <v>4</v>
      </c>
      <c r="AZ37" s="16">
        <f t="shared" si="133"/>
        <v>6</v>
      </c>
      <c r="BA37" s="16">
        <f t="shared" si="134"/>
        <v>6</v>
      </c>
      <c r="BB37" s="16">
        <f t="shared" si="135"/>
        <v>1</v>
      </c>
      <c r="BC37" s="17">
        <f t="shared" si="136"/>
        <v>5</v>
      </c>
    </row>
    <row r="38" spans="1:55" s="24" customFormat="1" x14ac:dyDescent="0.3">
      <c r="A38" s="211" t="s">
        <v>42</v>
      </c>
      <c r="B38" s="212">
        <v>37415</v>
      </c>
      <c r="C38" s="213">
        <v>37170</v>
      </c>
      <c r="D38" s="205" t="s">
        <v>99</v>
      </c>
      <c r="E38" s="49">
        <v>43861</v>
      </c>
      <c r="F38" s="56">
        <f>1000+5000</f>
        <v>6000</v>
      </c>
      <c r="G38" s="48">
        <v>2000</v>
      </c>
      <c r="H38" s="55"/>
      <c r="I38" s="54">
        <f>3700+8000</f>
        <v>11700</v>
      </c>
      <c r="J38" s="48">
        <f>2000+10000</f>
        <v>12000</v>
      </c>
      <c r="K38" s="53"/>
      <c r="L38" s="54">
        <f>0+8000</f>
        <v>8000</v>
      </c>
      <c r="M38" s="48">
        <f>140+10000</f>
        <v>10140</v>
      </c>
      <c r="N38" s="55"/>
      <c r="O38" s="54">
        <f>200+7800</f>
        <v>8000</v>
      </c>
      <c r="P38" s="48">
        <f>1900+7000</f>
        <v>8900</v>
      </c>
      <c r="Q38" s="55"/>
      <c r="R38" s="54">
        <f>1100+4900</f>
        <v>6000</v>
      </c>
      <c r="S38" s="48">
        <f>1850+4150</f>
        <v>6000</v>
      </c>
      <c r="T38" s="55"/>
      <c r="U38" s="54">
        <f>850+2700</f>
        <v>3550</v>
      </c>
      <c r="V38" s="48">
        <f>1310+2700</f>
        <v>4010</v>
      </c>
      <c r="W38" s="55"/>
      <c r="X38" s="54">
        <f>2920+4000</f>
        <v>6920</v>
      </c>
      <c r="Y38" s="48">
        <f>3690+3500</f>
        <v>7190</v>
      </c>
      <c r="Z38" s="55"/>
      <c r="AA38" s="54">
        <f>2140+3000</f>
        <v>5140</v>
      </c>
      <c r="AB38" s="48">
        <f>2370+3500</f>
        <v>5870</v>
      </c>
      <c r="AC38" s="55"/>
      <c r="AD38" s="54">
        <f>1100+3900</f>
        <v>5000</v>
      </c>
      <c r="AE38" s="48">
        <v>0</v>
      </c>
      <c r="AF38" s="55"/>
      <c r="AG38" s="54">
        <f>2000+4000</f>
        <v>6000</v>
      </c>
      <c r="AH38" s="48">
        <f>2500+3500</f>
        <v>6000</v>
      </c>
      <c r="AI38" s="55"/>
      <c r="AJ38" s="22">
        <f t="shared" si="120"/>
        <v>4595.1923076923076</v>
      </c>
      <c r="AK38" s="22">
        <f t="shared" si="121"/>
        <v>14296.153846153846</v>
      </c>
      <c r="AL38" s="22">
        <f t="shared" si="122"/>
        <v>10722.115384615387</v>
      </c>
      <c r="AM38" s="22">
        <f t="shared" si="122"/>
        <v>10722.115384615387</v>
      </c>
      <c r="AN38" s="22">
        <f t="shared" si="123"/>
        <v>6498.2517482517496</v>
      </c>
      <c r="AO38" s="22">
        <f t="shared" si="124"/>
        <v>4020.7932692307691</v>
      </c>
      <c r="AP38" s="22">
        <f t="shared" si="125"/>
        <v>8041.5865384615381</v>
      </c>
      <c r="AQ38" s="22">
        <f t="shared" si="126"/>
        <v>4020.7932692307691</v>
      </c>
      <c r="AR38" s="22">
        <f t="shared" si="126"/>
        <v>4020.7932692307691</v>
      </c>
      <c r="AS38" s="23">
        <f t="shared" si="127"/>
        <v>7148.0769230769229</v>
      </c>
      <c r="AT38" s="15">
        <f t="shared" si="110"/>
        <v>2</v>
      </c>
      <c r="AU38" s="16">
        <f t="shared" si="128"/>
        <v>4</v>
      </c>
      <c r="AV38" s="16">
        <f t="shared" si="129"/>
        <v>5</v>
      </c>
      <c r="AW38" s="16">
        <f t="shared" si="130"/>
        <v>4</v>
      </c>
      <c r="AX38" s="16">
        <f t="shared" si="131"/>
        <v>5</v>
      </c>
      <c r="AY38" s="16">
        <f t="shared" si="132"/>
        <v>5</v>
      </c>
      <c r="AZ38" s="16">
        <f t="shared" si="133"/>
        <v>4</v>
      </c>
      <c r="BA38" s="16">
        <f t="shared" si="134"/>
        <v>7</v>
      </c>
      <c r="BB38" s="16">
        <f t="shared" si="135"/>
        <v>0</v>
      </c>
      <c r="BC38" s="17">
        <f t="shared" si="136"/>
        <v>4</v>
      </c>
    </row>
    <row r="39" spans="1:55" x14ac:dyDescent="0.3">
      <c r="A39" s="211" t="s">
        <v>43</v>
      </c>
      <c r="B39" s="212">
        <v>34639</v>
      </c>
      <c r="C39" s="213">
        <v>34412</v>
      </c>
      <c r="D39" s="205" t="s">
        <v>99</v>
      </c>
      <c r="E39" s="49">
        <v>43861</v>
      </c>
      <c r="F39" s="56">
        <f>3060+4000</f>
        <v>7060</v>
      </c>
      <c r="G39" s="48">
        <v>3220</v>
      </c>
      <c r="H39" s="55"/>
      <c r="I39" s="54">
        <f>4800+13000</f>
        <v>17800</v>
      </c>
      <c r="J39" s="48">
        <v>10200</v>
      </c>
      <c r="K39" s="53"/>
      <c r="L39" s="54">
        <f>1760+8540</f>
        <v>10300</v>
      </c>
      <c r="M39" s="48">
        <v>3270</v>
      </c>
      <c r="N39" s="55"/>
      <c r="O39" s="54">
        <f>1448+8800</f>
        <v>10248</v>
      </c>
      <c r="P39" s="48">
        <v>3752</v>
      </c>
      <c r="Q39" s="55"/>
      <c r="R39" s="54">
        <f>550+5750</f>
        <v>6300</v>
      </c>
      <c r="S39" s="48">
        <v>1250</v>
      </c>
      <c r="T39" s="55"/>
      <c r="U39" s="54">
        <f>2470+2800</f>
        <v>5270</v>
      </c>
      <c r="V39" s="48">
        <v>2530</v>
      </c>
      <c r="W39" s="55"/>
      <c r="X39" s="54">
        <f>2710+4000</f>
        <v>6710</v>
      </c>
      <c r="Y39" s="48">
        <v>3040</v>
      </c>
      <c r="Z39" s="55"/>
      <c r="AA39" s="54">
        <f>640+6000</f>
        <v>6640</v>
      </c>
      <c r="AB39" s="48">
        <v>3390</v>
      </c>
      <c r="AC39" s="55"/>
      <c r="AD39" s="54">
        <f>3530+2000</f>
        <v>5530</v>
      </c>
      <c r="AE39" s="48">
        <v>30</v>
      </c>
      <c r="AF39" s="55"/>
      <c r="AG39" s="54">
        <f>1590+5500</f>
        <v>7090</v>
      </c>
      <c r="AH39" s="48">
        <v>3100</v>
      </c>
      <c r="AI39" s="55"/>
      <c r="AJ39" s="22">
        <f t="shared" si="120"/>
        <v>4254.2307692307695</v>
      </c>
      <c r="AK39" s="22">
        <f t="shared" si="121"/>
        <v>13235.384615384613</v>
      </c>
      <c r="AL39" s="22">
        <f t="shared" si="122"/>
        <v>9926.538461538461</v>
      </c>
      <c r="AM39" s="22">
        <f t="shared" si="122"/>
        <v>9926.538461538461</v>
      </c>
      <c r="AN39" s="22">
        <f t="shared" si="123"/>
        <v>6016.0839160839159</v>
      </c>
      <c r="AO39" s="22">
        <f t="shared" si="124"/>
        <v>3722.4519230769233</v>
      </c>
      <c r="AP39" s="22">
        <f t="shared" si="125"/>
        <v>7444.9038461538466</v>
      </c>
      <c r="AQ39" s="22">
        <f t="shared" si="126"/>
        <v>3722.4519230769233</v>
      </c>
      <c r="AR39" s="22">
        <f t="shared" si="126"/>
        <v>3722.4519230769233</v>
      </c>
      <c r="AS39" s="23">
        <f t="shared" si="127"/>
        <v>6617.6923076923067</v>
      </c>
      <c r="AT39" s="31">
        <f t="shared" si="110"/>
        <v>4</v>
      </c>
      <c r="AU39" s="32">
        <f t="shared" si="128"/>
        <v>4</v>
      </c>
      <c r="AV39" s="32">
        <f t="shared" si="129"/>
        <v>2</v>
      </c>
      <c r="AW39" s="32">
        <f t="shared" si="130"/>
        <v>2</v>
      </c>
      <c r="AX39" s="32">
        <f t="shared" si="131"/>
        <v>1</v>
      </c>
      <c r="AY39" s="32">
        <f t="shared" si="132"/>
        <v>3</v>
      </c>
      <c r="AZ39" s="32">
        <f t="shared" si="133"/>
        <v>2</v>
      </c>
      <c r="BA39" s="32">
        <f t="shared" si="134"/>
        <v>5</v>
      </c>
      <c r="BB39" s="32">
        <f t="shared" si="135"/>
        <v>0</v>
      </c>
      <c r="BC39" s="33">
        <f t="shared" si="136"/>
        <v>2</v>
      </c>
    </row>
    <row r="40" spans="1:55" x14ac:dyDescent="0.3">
      <c r="A40" s="208" t="s">
        <v>88</v>
      </c>
      <c r="B40" s="217">
        <v>187480</v>
      </c>
      <c r="C40" s="216">
        <v>185894</v>
      </c>
      <c r="D40" s="205" t="s">
        <v>99</v>
      </c>
      <c r="E40" s="49">
        <v>43861</v>
      </c>
      <c r="F40" s="57">
        <v>0</v>
      </c>
      <c r="G40" s="48">
        <v>4100</v>
      </c>
      <c r="H40" s="55">
        <v>0</v>
      </c>
      <c r="I40" s="54">
        <v>0</v>
      </c>
      <c r="J40" s="48">
        <v>31680</v>
      </c>
      <c r="K40" s="53">
        <v>0</v>
      </c>
      <c r="L40" s="54">
        <v>0</v>
      </c>
      <c r="M40" s="48">
        <v>0</v>
      </c>
      <c r="N40" s="55">
        <v>4</v>
      </c>
      <c r="O40" s="54">
        <v>0</v>
      </c>
      <c r="P40" s="48">
        <v>14892</v>
      </c>
      <c r="Q40" s="55">
        <v>0</v>
      </c>
      <c r="R40" s="54">
        <v>0</v>
      </c>
      <c r="S40" s="48">
        <v>1519</v>
      </c>
      <c r="T40" s="55">
        <v>0</v>
      </c>
      <c r="U40" s="54">
        <v>0</v>
      </c>
      <c r="V40" s="48">
        <v>0</v>
      </c>
      <c r="W40" s="55">
        <v>4</v>
      </c>
      <c r="X40" s="54">
        <v>0</v>
      </c>
      <c r="Y40" s="48">
        <v>20650</v>
      </c>
      <c r="Z40" s="55">
        <v>0</v>
      </c>
      <c r="AA40" s="54">
        <v>0</v>
      </c>
      <c r="AB40" s="48">
        <v>0</v>
      </c>
      <c r="AC40" s="55">
        <v>4</v>
      </c>
      <c r="AD40" s="54">
        <v>0</v>
      </c>
      <c r="AE40" s="48">
        <v>0</v>
      </c>
      <c r="AF40" s="55">
        <v>34</v>
      </c>
      <c r="AG40" s="54">
        <v>0</v>
      </c>
      <c r="AH40" s="48">
        <v>0</v>
      </c>
      <c r="AI40" s="55">
        <v>4</v>
      </c>
      <c r="AJ40" s="21">
        <f>((B40*0.9*1.43)/52)*15</f>
        <v>69601.949999999983</v>
      </c>
      <c r="AK40" s="21">
        <f>((C40*0.9*4*1.25)/52)*15</f>
        <v>241304.71153846153</v>
      </c>
      <c r="AL40" s="21">
        <f>((C40*0.9*3*1.11)/52)*15</f>
        <v>160708.93788461541</v>
      </c>
      <c r="AM40" s="21">
        <f>((C40*0.9*3*1.11)/52)*15</f>
        <v>160708.93788461541</v>
      </c>
      <c r="AN40" s="21">
        <f>((C40*0.9*2*1.05)/52)*15</f>
        <v>101347.97884615386</v>
      </c>
      <c r="AO40" s="21">
        <f>((C40*0.9*1*1.25)/52)*15</f>
        <v>60326.177884615383</v>
      </c>
      <c r="AP40" s="21">
        <f>((C40*0.9*2*1.25)/52)*15</f>
        <v>120652.35576923077</v>
      </c>
      <c r="AQ40" s="21">
        <f>((C40*0.9*1*1.25)/52)*15</f>
        <v>60326.177884615383</v>
      </c>
      <c r="AR40" s="21">
        <f>((C40*0.9*1*1.25)/52)*15</f>
        <v>60326.177884615383</v>
      </c>
      <c r="AS40" s="21">
        <f>((B40*0.9*2*1.11)/52)*15</f>
        <v>108053.37692307694</v>
      </c>
      <c r="AT40" s="15">
        <f>ROUND(G40/(AJ40/15),0)</f>
        <v>1</v>
      </c>
      <c r="AU40" s="16">
        <f t="shared" ref="AU40" si="137">ROUND(J40/(AK40/15),0)</f>
        <v>2</v>
      </c>
      <c r="AV40" s="16">
        <f t="shared" ref="AV40" si="138">ROUND(M40/(AL40/15),0)</f>
        <v>0</v>
      </c>
      <c r="AW40" s="16">
        <f t="shared" ref="AW40" si="139">ROUND(P40/(AM40/15),0)</f>
        <v>1</v>
      </c>
      <c r="AX40" s="16">
        <f t="shared" ref="AX40" si="140">ROUND(S40/(AN40/15),0)</f>
        <v>0</v>
      </c>
      <c r="AY40" s="16">
        <f t="shared" ref="AY40" si="141">ROUND(V40/(AO40/15),0)</f>
        <v>0</v>
      </c>
      <c r="AZ40" s="16">
        <f t="shared" ref="AZ40" si="142">ROUND(Y40/(AP40/15),0)</f>
        <v>3</v>
      </c>
      <c r="BA40" s="16">
        <f t="shared" ref="BA40" si="143">ROUND(AB40/(AQ40/15),0)</f>
        <v>0</v>
      </c>
      <c r="BB40" s="16">
        <f t="shared" ref="BB40" si="144">ROUND(AE40/(AR40/15),0)</f>
        <v>0</v>
      </c>
      <c r="BC40" s="17">
        <f t="shared" ref="BC40" si="145">ROUND(AH40/(AS40/15),0)</f>
        <v>0</v>
      </c>
    </row>
    <row r="41" spans="1:55" x14ac:dyDescent="0.3">
      <c r="A41" s="211" t="s">
        <v>44</v>
      </c>
      <c r="B41" s="218">
        <v>14437</v>
      </c>
      <c r="C41" s="213">
        <v>14315</v>
      </c>
      <c r="D41" s="205" t="s">
        <v>99</v>
      </c>
      <c r="E41" s="49">
        <v>43861</v>
      </c>
      <c r="F41" s="57">
        <v>1220</v>
      </c>
      <c r="G41" s="48">
        <v>1600</v>
      </c>
      <c r="H41" s="55">
        <v>0</v>
      </c>
      <c r="I41" s="54">
        <v>3680</v>
      </c>
      <c r="J41" s="48">
        <v>4820</v>
      </c>
      <c r="K41" s="53">
        <v>0</v>
      </c>
      <c r="L41" s="54">
        <v>3500</v>
      </c>
      <c r="M41" s="48">
        <v>3500</v>
      </c>
      <c r="N41" s="55">
        <v>0</v>
      </c>
      <c r="O41" s="54">
        <v>2844</v>
      </c>
      <c r="P41" s="48">
        <v>3600</v>
      </c>
      <c r="Q41" s="55">
        <v>0</v>
      </c>
      <c r="R41" s="54">
        <v>1969</v>
      </c>
      <c r="S41" s="48">
        <v>2302</v>
      </c>
      <c r="T41" s="55">
        <v>0</v>
      </c>
      <c r="U41" s="54">
        <v>890</v>
      </c>
      <c r="V41" s="48">
        <v>1170</v>
      </c>
      <c r="W41" s="55">
        <v>0</v>
      </c>
      <c r="X41" s="54">
        <v>1850</v>
      </c>
      <c r="Y41" s="48">
        <v>2780</v>
      </c>
      <c r="Z41" s="55">
        <v>0</v>
      </c>
      <c r="AA41" s="54">
        <v>1300</v>
      </c>
      <c r="AB41" s="48">
        <v>1300</v>
      </c>
      <c r="AC41" s="55">
        <v>0</v>
      </c>
      <c r="AD41" s="54">
        <v>0</v>
      </c>
      <c r="AE41" s="48">
        <v>0</v>
      </c>
      <c r="AF41" s="55">
        <v>30</v>
      </c>
      <c r="AG41" s="54">
        <v>1910</v>
      </c>
      <c r="AH41" s="48">
        <v>2420</v>
      </c>
      <c r="AI41" s="55">
        <v>0</v>
      </c>
      <c r="AJ41" s="22">
        <f>(($C41*AJ$5*1*(1/(1-0.3)))/52)*5</f>
        <v>1769.7115384615383</v>
      </c>
      <c r="AK41" s="22">
        <f>(($C41*AK$5*4*(1/(1-0.1)))/52)*5</f>
        <v>5505.7692307692305</v>
      </c>
      <c r="AL41" s="22">
        <f>(($C41*AL$5*3*(1/(1-0.1)))/52)*5</f>
        <v>4129.3269230769229</v>
      </c>
      <c r="AM41" s="22">
        <f>(($C41*AM$5*3*(1/(1-0.1)))/52)*5</f>
        <v>4129.3269230769229</v>
      </c>
      <c r="AN41" s="22">
        <f>(($C41*AN$5*2*(1/(1-0.01)))/52)*5</f>
        <v>2502.6223776223778</v>
      </c>
      <c r="AO41" s="22">
        <f>(($C41*AO$5*1*(1/(1-0.2)))/52)*5</f>
        <v>1548.4975961538462</v>
      </c>
      <c r="AP41" s="22">
        <f>(($C41*AP$5*2*(1/(1-0.2)))/52)*5</f>
        <v>3096.9951923076924</v>
      </c>
      <c r="AQ41" s="22">
        <f>(($C41*AQ$5*1*(1/(1-0.2)))/52)*5</f>
        <v>1548.4975961538462</v>
      </c>
      <c r="AR41" s="22">
        <f>(($C41*AR$5*1*(1/(1-0.2)))/52)*5</f>
        <v>1548.4975961538462</v>
      </c>
      <c r="AS41" s="23">
        <f>(($C41*AS$5*2*(1/(1-0.1)))/52)*5</f>
        <v>2752.8846153846152</v>
      </c>
      <c r="AT41" s="15">
        <f t="shared" ref="AT41:AT53" si="146">ROUND(G41/(AJ41/5),0)</f>
        <v>5</v>
      </c>
      <c r="AU41" s="16">
        <f t="shared" ref="AU41" si="147">ROUND(J41/(AK41/5),0)</f>
        <v>4</v>
      </c>
      <c r="AV41" s="16">
        <f t="shared" ref="AV41" si="148">ROUND(M41/(AL41/5),0)</f>
        <v>4</v>
      </c>
      <c r="AW41" s="16">
        <f t="shared" ref="AW41" si="149">ROUND(P41/(AM41/5),0)</f>
        <v>4</v>
      </c>
      <c r="AX41" s="16">
        <f t="shared" ref="AX41" si="150">ROUND(S41/(AN41/5),0)</f>
        <v>5</v>
      </c>
      <c r="AY41" s="16">
        <f t="shared" ref="AY41" si="151">ROUND(V41/(AO41/5),0)</f>
        <v>4</v>
      </c>
      <c r="AZ41" s="16">
        <f t="shared" ref="AZ41" si="152">ROUND(Y41/(AP41/5),0)</f>
        <v>4</v>
      </c>
      <c r="BA41" s="16">
        <f t="shared" ref="BA41" si="153">ROUND(AB41/(AQ41/5),0)</f>
        <v>4</v>
      </c>
      <c r="BB41" s="16">
        <f t="shared" ref="BB41" si="154">ROUND(AE41/(AR41/5),0)</f>
        <v>0</v>
      </c>
      <c r="BC41" s="17">
        <f t="shared" ref="BC41" si="155">ROUND(AH41/(AS41/5),0)</f>
        <v>4</v>
      </c>
    </row>
    <row r="42" spans="1:55" x14ac:dyDescent="0.3">
      <c r="A42" s="211" t="s">
        <v>45</v>
      </c>
      <c r="B42" s="218">
        <v>4072</v>
      </c>
      <c r="C42" s="213">
        <v>4038</v>
      </c>
      <c r="D42" s="205" t="s">
        <v>99</v>
      </c>
      <c r="E42" s="49">
        <v>43861</v>
      </c>
      <c r="F42" s="57">
        <v>460</v>
      </c>
      <c r="G42" s="48">
        <v>540</v>
      </c>
      <c r="H42" s="55">
        <v>0</v>
      </c>
      <c r="I42" s="54">
        <v>940</v>
      </c>
      <c r="J42" s="48">
        <v>1440</v>
      </c>
      <c r="K42" s="53">
        <v>0</v>
      </c>
      <c r="L42" s="54">
        <v>0</v>
      </c>
      <c r="M42" s="48">
        <v>270</v>
      </c>
      <c r="N42" s="55">
        <v>4</v>
      </c>
      <c r="O42" s="54">
        <v>864</v>
      </c>
      <c r="P42" s="48">
        <v>1080</v>
      </c>
      <c r="Q42" s="55">
        <v>0</v>
      </c>
      <c r="R42" s="54">
        <v>624</v>
      </c>
      <c r="S42" s="48">
        <v>700</v>
      </c>
      <c r="T42" s="55">
        <v>0</v>
      </c>
      <c r="U42" s="54">
        <v>350</v>
      </c>
      <c r="V42" s="48">
        <v>360</v>
      </c>
      <c r="W42" s="55">
        <v>0</v>
      </c>
      <c r="X42" s="54">
        <v>570</v>
      </c>
      <c r="Y42" s="48">
        <v>860</v>
      </c>
      <c r="Z42" s="55">
        <v>0</v>
      </c>
      <c r="AA42" s="54">
        <v>300</v>
      </c>
      <c r="AB42" s="48">
        <v>320</v>
      </c>
      <c r="AC42" s="55">
        <v>4</v>
      </c>
      <c r="AD42" s="54">
        <v>0</v>
      </c>
      <c r="AE42" s="48">
        <v>0</v>
      </c>
      <c r="AF42" s="55">
        <v>30</v>
      </c>
      <c r="AG42" s="54">
        <v>0</v>
      </c>
      <c r="AH42" s="48">
        <v>270</v>
      </c>
      <c r="AI42" s="55">
        <v>4</v>
      </c>
      <c r="AJ42" s="22">
        <f t="shared" ref="AJ42:AJ53" si="156">(($C42*AJ$5*1*(1/(1-0.3)))/52)*5</f>
        <v>499.20329670329681</v>
      </c>
      <c r="AK42" s="22">
        <f t="shared" ref="AK42:AK53" si="157">(($C42*AK$5*4*(1/(1-0.1)))/52)*5</f>
        <v>1553.0769230769233</v>
      </c>
      <c r="AL42" s="22">
        <f t="shared" ref="AL42:AM53" si="158">(($C42*AL$5*3*(1/(1-0.1)))/52)*5</f>
        <v>1164.8076923076926</v>
      </c>
      <c r="AM42" s="22">
        <f t="shared" si="158"/>
        <v>1164.8076923076926</v>
      </c>
      <c r="AN42" s="22">
        <f t="shared" ref="AN42:AN53" si="159">(($C42*AN$5*2*(1/(1-0.01)))/52)*5</f>
        <v>705.944055944056</v>
      </c>
      <c r="AO42" s="22">
        <f t="shared" ref="AO42:AO53" si="160">(($C42*AO$5*1*(1/(1-0.2)))/52)*5</f>
        <v>436.80288461538458</v>
      </c>
      <c r="AP42" s="22">
        <f t="shared" ref="AP42:AP53" si="161">(($C42*AP$5*2*(1/(1-0.2)))/52)*5</f>
        <v>873.60576923076917</v>
      </c>
      <c r="AQ42" s="22">
        <f t="shared" ref="AQ42:AR53" si="162">(($C42*AQ$5*1*(1/(1-0.2)))/52)*5</f>
        <v>436.80288461538458</v>
      </c>
      <c r="AR42" s="22">
        <f t="shared" si="162"/>
        <v>436.80288461538458</v>
      </c>
      <c r="AS42" s="23">
        <f t="shared" ref="AS42:AS53" si="163">(($C42*AS$5*2*(1/(1-0.1)))/52)*5</f>
        <v>776.53846153846166</v>
      </c>
      <c r="AT42" s="15">
        <f t="shared" si="146"/>
        <v>5</v>
      </c>
      <c r="AU42" s="16">
        <f t="shared" ref="AU42:AU53" si="164">ROUND(J42/(AK42/5),0)</f>
        <v>5</v>
      </c>
      <c r="AV42" s="16">
        <f t="shared" ref="AV42:AV53" si="165">ROUND(M42/(AL42/5),0)</f>
        <v>1</v>
      </c>
      <c r="AW42" s="16">
        <f t="shared" ref="AW42:AW53" si="166">ROUND(P42/(AM42/5),0)</f>
        <v>5</v>
      </c>
      <c r="AX42" s="16">
        <f t="shared" ref="AX42:AX53" si="167">ROUND(S42/(AN42/5),0)</f>
        <v>5</v>
      </c>
      <c r="AY42" s="16">
        <f t="shared" ref="AY42:AY53" si="168">ROUND(V42/(AO42/5),0)</f>
        <v>4</v>
      </c>
      <c r="AZ42" s="16">
        <f t="shared" ref="AZ42:AZ53" si="169">ROUND(Y42/(AP42/5),0)</f>
        <v>5</v>
      </c>
      <c r="BA42" s="16">
        <f t="shared" ref="BA42:BA53" si="170">ROUND(AB42/(AQ42/5),0)</f>
        <v>4</v>
      </c>
      <c r="BB42" s="16">
        <f t="shared" ref="BB42:BB53" si="171">ROUND(AE42/(AR42/5),0)</f>
        <v>0</v>
      </c>
      <c r="BC42" s="17">
        <f t="shared" ref="BC42:BC53" si="172">ROUND(AH42/(AS42/5),0)</f>
        <v>2</v>
      </c>
    </row>
    <row r="43" spans="1:55" x14ac:dyDescent="0.3">
      <c r="A43" s="211" t="s">
        <v>46</v>
      </c>
      <c r="B43" s="218">
        <v>25086</v>
      </c>
      <c r="C43" s="213">
        <v>24874</v>
      </c>
      <c r="D43" s="205" t="s">
        <v>99</v>
      </c>
      <c r="E43" s="49">
        <v>43861</v>
      </c>
      <c r="F43" s="57">
        <v>2640</v>
      </c>
      <c r="G43" s="48">
        <v>3320</v>
      </c>
      <c r="H43" s="55">
        <v>0</v>
      </c>
      <c r="I43" s="54">
        <v>6520</v>
      </c>
      <c r="J43" s="48">
        <v>10060</v>
      </c>
      <c r="K43" s="53">
        <v>0</v>
      </c>
      <c r="L43" s="54">
        <v>0</v>
      </c>
      <c r="M43" s="48">
        <v>200</v>
      </c>
      <c r="N43" s="55">
        <v>4</v>
      </c>
      <c r="O43" s="54">
        <v>5840</v>
      </c>
      <c r="P43" s="48">
        <v>7220</v>
      </c>
      <c r="Q43" s="55">
        <v>0</v>
      </c>
      <c r="R43" s="54">
        <v>3758</v>
      </c>
      <c r="S43" s="48">
        <v>4630</v>
      </c>
      <c r="T43" s="55">
        <v>0</v>
      </c>
      <c r="U43" s="54">
        <v>1420</v>
      </c>
      <c r="V43" s="48">
        <v>2250</v>
      </c>
      <c r="W43" s="55">
        <v>0</v>
      </c>
      <c r="X43" s="54">
        <v>3310</v>
      </c>
      <c r="Y43" s="48">
        <v>5990</v>
      </c>
      <c r="Z43" s="55">
        <v>0</v>
      </c>
      <c r="AA43" s="54">
        <v>0</v>
      </c>
      <c r="AB43" s="48">
        <v>1060</v>
      </c>
      <c r="AC43" s="55">
        <v>4</v>
      </c>
      <c r="AD43" s="54">
        <v>0</v>
      </c>
      <c r="AE43" s="48">
        <v>220</v>
      </c>
      <c r="AF43" s="55">
        <v>30</v>
      </c>
      <c r="AG43" s="54">
        <v>0</v>
      </c>
      <c r="AH43" s="48">
        <v>1580</v>
      </c>
      <c r="AI43" s="55">
        <v>4</v>
      </c>
      <c r="AJ43" s="22">
        <f t="shared" si="156"/>
        <v>3075.0824175824173</v>
      </c>
      <c r="AK43" s="22">
        <f t="shared" si="157"/>
        <v>9566.923076923078</v>
      </c>
      <c r="AL43" s="22">
        <f t="shared" si="158"/>
        <v>7175.1923076923067</v>
      </c>
      <c r="AM43" s="22">
        <f t="shared" si="158"/>
        <v>7175.1923076923067</v>
      </c>
      <c r="AN43" s="22">
        <f t="shared" si="159"/>
        <v>4348.6013986013986</v>
      </c>
      <c r="AO43" s="22">
        <f t="shared" si="160"/>
        <v>2690.6971153846152</v>
      </c>
      <c r="AP43" s="22">
        <f t="shared" si="161"/>
        <v>5381.3942307692305</v>
      </c>
      <c r="AQ43" s="22">
        <f t="shared" si="162"/>
        <v>2690.6971153846152</v>
      </c>
      <c r="AR43" s="22">
        <f t="shared" si="162"/>
        <v>2690.6971153846152</v>
      </c>
      <c r="AS43" s="23">
        <f t="shared" si="163"/>
        <v>4783.461538461539</v>
      </c>
      <c r="AT43" s="15">
        <f t="shared" si="146"/>
        <v>5</v>
      </c>
      <c r="AU43" s="16">
        <f t="shared" si="164"/>
        <v>5</v>
      </c>
      <c r="AV43" s="16">
        <f t="shared" si="165"/>
        <v>0</v>
      </c>
      <c r="AW43" s="16">
        <f t="shared" si="166"/>
        <v>5</v>
      </c>
      <c r="AX43" s="16">
        <f t="shared" si="167"/>
        <v>5</v>
      </c>
      <c r="AY43" s="16">
        <f t="shared" si="168"/>
        <v>4</v>
      </c>
      <c r="AZ43" s="16">
        <f t="shared" si="169"/>
        <v>6</v>
      </c>
      <c r="BA43" s="16">
        <f t="shared" si="170"/>
        <v>2</v>
      </c>
      <c r="BB43" s="16">
        <f t="shared" si="171"/>
        <v>0</v>
      </c>
      <c r="BC43" s="17">
        <f t="shared" si="172"/>
        <v>2</v>
      </c>
    </row>
    <row r="44" spans="1:55" s="24" customFormat="1" x14ac:dyDescent="0.3">
      <c r="A44" s="211" t="s">
        <v>47</v>
      </c>
      <c r="B44" s="218">
        <v>18961</v>
      </c>
      <c r="C44" s="213">
        <v>18801</v>
      </c>
      <c r="D44" s="205" t="s">
        <v>99</v>
      </c>
      <c r="E44" s="49">
        <v>43861</v>
      </c>
      <c r="F44" s="57">
        <v>2360</v>
      </c>
      <c r="G44" s="48">
        <v>2400</v>
      </c>
      <c r="H44" s="55">
        <v>0</v>
      </c>
      <c r="I44" s="54">
        <v>5780</v>
      </c>
      <c r="J44" s="48">
        <v>7400</v>
      </c>
      <c r="K44" s="53">
        <v>0</v>
      </c>
      <c r="L44" s="54">
        <v>4660</v>
      </c>
      <c r="M44" s="48">
        <v>5310</v>
      </c>
      <c r="N44" s="55">
        <v>0</v>
      </c>
      <c r="O44" s="54">
        <v>4504</v>
      </c>
      <c r="P44" s="48">
        <v>5304</v>
      </c>
      <c r="Q44" s="55">
        <v>0</v>
      </c>
      <c r="R44" s="54">
        <v>2765</v>
      </c>
      <c r="S44" s="48">
        <v>3215</v>
      </c>
      <c r="T44" s="55">
        <v>0</v>
      </c>
      <c r="U44" s="54">
        <v>1580</v>
      </c>
      <c r="V44" s="48">
        <v>1860</v>
      </c>
      <c r="W44" s="55">
        <v>0</v>
      </c>
      <c r="X44" s="54">
        <v>2810</v>
      </c>
      <c r="Y44" s="48">
        <v>4160</v>
      </c>
      <c r="Z44" s="55">
        <v>0</v>
      </c>
      <c r="AA44" s="54">
        <v>0</v>
      </c>
      <c r="AB44" s="48">
        <v>0</v>
      </c>
      <c r="AC44" s="55">
        <v>4</v>
      </c>
      <c r="AD44" s="54">
        <v>0</v>
      </c>
      <c r="AE44" s="48">
        <v>0</v>
      </c>
      <c r="AF44" s="55">
        <v>30</v>
      </c>
      <c r="AG44" s="54">
        <v>2880</v>
      </c>
      <c r="AH44" s="48">
        <v>3700</v>
      </c>
      <c r="AI44" s="55">
        <v>0</v>
      </c>
      <c r="AJ44" s="22">
        <f t="shared" si="156"/>
        <v>2324.2994505494512</v>
      </c>
      <c r="AK44" s="22">
        <f t="shared" si="157"/>
        <v>7231.1538461538476</v>
      </c>
      <c r="AL44" s="22">
        <f t="shared" si="158"/>
        <v>5423.3653846153857</v>
      </c>
      <c r="AM44" s="22">
        <f t="shared" si="158"/>
        <v>5423.3653846153857</v>
      </c>
      <c r="AN44" s="22">
        <f t="shared" si="159"/>
        <v>3286.8881118881118</v>
      </c>
      <c r="AO44" s="22">
        <f t="shared" si="160"/>
        <v>2033.7620192307693</v>
      </c>
      <c r="AP44" s="22">
        <f t="shared" si="161"/>
        <v>4067.5240384615386</v>
      </c>
      <c r="AQ44" s="22">
        <f t="shared" si="162"/>
        <v>2033.7620192307693</v>
      </c>
      <c r="AR44" s="22">
        <f t="shared" si="162"/>
        <v>2033.7620192307693</v>
      </c>
      <c r="AS44" s="23">
        <f t="shared" si="163"/>
        <v>3615.5769230769238</v>
      </c>
      <c r="AT44" s="15">
        <f t="shared" si="146"/>
        <v>5</v>
      </c>
      <c r="AU44" s="16">
        <f t="shared" si="164"/>
        <v>5</v>
      </c>
      <c r="AV44" s="16">
        <f t="shared" si="165"/>
        <v>5</v>
      </c>
      <c r="AW44" s="16">
        <f t="shared" si="166"/>
        <v>5</v>
      </c>
      <c r="AX44" s="16">
        <f t="shared" si="167"/>
        <v>5</v>
      </c>
      <c r="AY44" s="16">
        <f t="shared" si="168"/>
        <v>5</v>
      </c>
      <c r="AZ44" s="16">
        <f t="shared" si="169"/>
        <v>5</v>
      </c>
      <c r="BA44" s="16">
        <f t="shared" si="170"/>
        <v>0</v>
      </c>
      <c r="BB44" s="16">
        <f t="shared" si="171"/>
        <v>0</v>
      </c>
      <c r="BC44" s="17">
        <f t="shared" si="172"/>
        <v>5</v>
      </c>
    </row>
    <row r="45" spans="1:55" s="24" customFormat="1" x14ac:dyDescent="0.3">
      <c r="A45" s="211" t="s">
        <v>48</v>
      </c>
      <c r="B45" s="218">
        <v>18988</v>
      </c>
      <c r="C45" s="213">
        <v>18827</v>
      </c>
      <c r="D45" s="205" t="s">
        <v>99</v>
      </c>
      <c r="E45" s="49">
        <v>43861</v>
      </c>
      <c r="F45" s="57">
        <v>2500</v>
      </c>
      <c r="G45" s="48">
        <v>2500</v>
      </c>
      <c r="H45" s="55">
        <v>0</v>
      </c>
      <c r="I45" s="54">
        <v>7300</v>
      </c>
      <c r="J45" s="48">
        <v>8000</v>
      </c>
      <c r="K45" s="53">
        <v>0</v>
      </c>
      <c r="L45" s="54">
        <v>5290</v>
      </c>
      <c r="M45" s="48">
        <v>5800</v>
      </c>
      <c r="N45" s="55">
        <v>0</v>
      </c>
      <c r="O45" s="54">
        <v>5100</v>
      </c>
      <c r="P45" s="48">
        <v>5800</v>
      </c>
      <c r="Q45" s="55">
        <v>0</v>
      </c>
      <c r="R45" s="54">
        <v>3700</v>
      </c>
      <c r="S45" s="48">
        <v>3700</v>
      </c>
      <c r="T45" s="55">
        <v>0</v>
      </c>
      <c r="U45" s="54">
        <v>2340</v>
      </c>
      <c r="V45" s="48">
        <v>2340</v>
      </c>
      <c r="W45" s="55">
        <v>0</v>
      </c>
      <c r="X45" s="54">
        <v>4050</v>
      </c>
      <c r="Y45" s="48">
        <v>4600</v>
      </c>
      <c r="Z45" s="55">
        <v>0</v>
      </c>
      <c r="AA45" s="54">
        <v>0</v>
      </c>
      <c r="AB45" s="48">
        <v>0</v>
      </c>
      <c r="AC45" s="55">
        <v>4</v>
      </c>
      <c r="AD45" s="54">
        <v>0</v>
      </c>
      <c r="AE45" s="48">
        <v>0</v>
      </c>
      <c r="AF45" s="55">
        <v>30</v>
      </c>
      <c r="AG45" s="54">
        <v>4440</v>
      </c>
      <c r="AH45" s="48">
        <v>4440</v>
      </c>
      <c r="AI45" s="55">
        <v>0</v>
      </c>
      <c r="AJ45" s="22">
        <f t="shared" si="156"/>
        <v>2327.5137362637361</v>
      </c>
      <c r="AK45" s="22">
        <f t="shared" si="157"/>
        <v>7241.1538461538466</v>
      </c>
      <c r="AL45" s="22">
        <f t="shared" si="158"/>
        <v>5430.8653846153829</v>
      </c>
      <c r="AM45" s="22">
        <f t="shared" si="158"/>
        <v>5430.8653846153829</v>
      </c>
      <c r="AN45" s="22">
        <f t="shared" si="159"/>
        <v>3291.4335664335663</v>
      </c>
      <c r="AO45" s="22">
        <f t="shared" si="160"/>
        <v>2036.5745192307693</v>
      </c>
      <c r="AP45" s="22">
        <f t="shared" si="161"/>
        <v>4073.1490384615386</v>
      </c>
      <c r="AQ45" s="22">
        <f t="shared" si="162"/>
        <v>2036.5745192307693</v>
      </c>
      <c r="AR45" s="22">
        <f t="shared" si="162"/>
        <v>2036.5745192307693</v>
      </c>
      <c r="AS45" s="23">
        <f t="shared" si="163"/>
        <v>3620.5769230769233</v>
      </c>
      <c r="AT45" s="15">
        <f t="shared" si="146"/>
        <v>5</v>
      </c>
      <c r="AU45" s="16">
        <f t="shared" si="164"/>
        <v>6</v>
      </c>
      <c r="AV45" s="16">
        <f t="shared" si="165"/>
        <v>5</v>
      </c>
      <c r="AW45" s="16">
        <f t="shared" si="166"/>
        <v>5</v>
      </c>
      <c r="AX45" s="16">
        <f t="shared" si="167"/>
        <v>6</v>
      </c>
      <c r="AY45" s="16">
        <f t="shared" si="168"/>
        <v>6</v>
      </c>
      <c r="AZ45" s="16">
        <f t="shared" si="169"/>
        <v>6</v>
      </c>
      <c r="BA45" s="16">
        <f t="shared" si="170"/>
        <v>0</v>
      </c>
      <c r="BB45" s="16">
        <f t="shared" si="171"/>
        <v>0</v>
      </c>
      <c r="BC45" s="17">
        <f t="shared" si="172"/>
        <v>6</v>
      </c>
    </row>
    <row r="46" spans="1:55" s="24" customFormat="1" x14ac:dyDescent="0.3">
      <c r="A46" s="211" t="s">
        <v>49</v>
      </c>
      <c r="B46" s="218">
        <v>17624</v>
      </c>
      <c r="C46" s="213">
        <v>17475</v>
      </c>
      <c r="D46" s="205" t="s">
        <v>99</v>
      </c>
      <c r="E46" s="49">
        <v>43861</v>
      </c>
      <c r="F46" s="57">
        <v>2120</v>
      </c>
      <c r="G46" s="48">
        <v>2160</v>
      </c>
      <c r="H46" s="55">
        <v>0</v>
      </c>
      <c r="I46" s="54">
        <v>4640</v>
      </c>
      <c r="J46" s="48">
        <v>6700</v>
      </c>
      <c r="K46" s="53">
        <v>0</v>
      </c>
      <c r="L46" s="54">
        <v>1200</v>
      </c>
      <c r="M46" s="48">
        <v>1490</v>
      </c>
      <c r="N46" s="55">
        <v>4</v>
      </c>
      <c r="O46" s="54">
        <v>4668</v>
      </c>
      <c r="P46" s="48">
        <v>4800</v>
      </c>
      <c r="Q46" s="55">
        <v>0</v>
      </c>
      <c r="R46" s="54">
        <v>2704</v>
      </c>
      <c r="S46" s="48">
        <v>2912</v>
      </c>
      <c r="T46" s="55">
        <v>0</v>
      </c>
      <c r="U46" s="54">
        <v>1570</v>
      </c>
      <c r="V46" s="48">
        <v>1570</v>
      </c>
      <c r="W46" s="55">
        <v>0</v>
      </c>
      <c r="X46" s="54">
        <v>1900</v>
      </c>
      <c r="Y46" s="48">
        <v>3760</v>
      </c>
      <c r="Z46" s="55">
        <v>0</v>
      </c>
      <c r="AA46" s="54">
        <v>500</v>
      </c>
      <c r="AB46" s="48">
        <v>690</v>
      </c>
      <c r="AC46" s="55">
        <v>4</v>
      </c>
      <c r="AD46" s="54">
        <v>0</v>
      </c>
      <c r="AE46" s="48">
        <v>0</v>
      </c>
      <c r="AF46" s="55">
        <v>30</v>
      </c>
      <c r="AG46" s="54">
        <v>2390</v>
      </c>
      <c r="AH46" s="48">
        <v>3340</v>
      </c>
      <c r="AI46" s="55">
        <v>4</v>
      </c>
      <c r="AJ46" s="22">
        <f t="shared" si="156"/>
        <v>2160.3708791208792</v>
      </c>
      <c r="AK46" s="22">
        <f t="shared" si="157"/>
        <v>6721.1538461538466</v>
      </c>
      <c r="AL46" s="22">
        <f t="shared" si="158"/>
        <v>5040.8653846153848</v>
      </c>
      <c r="AM46" s="22">
        <f t="shared" si="158"/>
        <v>5040.8653846153848</v>
      </c>
      <c r="AN46" s="22">
        <f t="shared" si="159"/>
        <v>3055.0699300699303</v>
      </c>
      <c r="AO46" s="22">
        <f t="shared" si="160"/>
        <v>1890.3245192307693</v>
      </c>
      <c r="AP46" s="22">
        <f t="shared" si="161"/>
        <v>3780.6490384615386</v>
      </c>
      <c r="AQ46" s="22">
        <f t="shared" si="162"/>
        <v>1890.3245192307693</v>
      </c>
      <c r="AR46" s="22">
        <f t="shared" si="162"/>
        <v>1890.3245192307693</v>
      </c>
      <c r="AS46" s="23">
        <f t="shared" si="163"/>
        <v>3360.5769230769233</v>
      </c>
      <c r="AT46" s="15">
        <f t="shared" si="146"/>
        <v>5</v>
      </c>
      <c r="AU46" s="16">
        <f t="shared" si="164"/>
        <v>5</v>
      </c>
      <c r="AV46" s="16">
        <f t="shared" si="165"/>
        <v>1</v>
      </c>
      <c r="AW46" s="16">
        <f t="shared" si="166"/>
        <v>5</v>
      </c>
      <c r="AX46" s="16">
        <f t="shared" si="167"/>
        <v>5</v>
      </c>
      <c r="AY46" s="16">
        <f t="shared" si="168"/>
        <v>4</v>
      </c>
      <c r="AZ46" s="16">
        <f t="shared" si="169"/>
        <v>5</v>
      </c>
      <c r="BA46" s="16">
        <f t="shared" si="170"/>
        <v>2</v>
      </c>
      <c r="BB46" s="16">
        <f t="shared" si="171"/>
        <v>0</v>
      </c>
      <c r="BC46" s="17">
        <f t="shared" si="172"/>
        <v>5</v>
      </c>
    </row>
    <row r="47" spans="1:55" s="24" customFormat="1" x14ac:dyDescent="0.3">
      <c r="A47" s="211" t="s">
        <v>50</v>
      </c>
      <c r="B47" s="218">
        <v>30729</v>
      </c>
      <c r="C47" s="213">
        <v>30469</v>
      </c>
      <c r="D47" s="205" t="s">
        <v>99</v>
      </c>
      <c r="E47" s="49">
        <v>43861</v>
      </c>
      <c r="F47" s="57">
        <v>3140</v>
      </c>
      <c r="G47" s="48">
        <v>4080</v>
      </c>
      <c r="H47" s="55">
        <v>0</v>
      </c>
      <c r="I47" s="54">
        <v>9420</v>
      </c>
      <c r="J47" s="48">
        <v>12320</v>
      </c>
      <c r="K47" s="53">
        <v>0</v>
      </c>
      <c r="L47" s="54">
        <v>5000</v>
      </c>
      <c r="M47" s="48">
        <v>6770</v>
      </c>
      <c r="N47" s="55">
        <v>4</v>
      </c>
      <c r="O47" s="54">
        <v>6736</v>
      </c>
      <c r="P47" s="48">
        <v>9240</v>
      </c>
      <c r="Q47" s="55">
        <v>0</v>
      </c>
      <c r="R47" s="54">
        <v>5034</v>
      </c>
      <c r="S47" s="48">
        <v>5925</v>
      </c>
      <c r="T47" s="55">
        <v>0</v>
      </c>
      <c r="U47" s="54">
        <v>2620</v>
      </c>
      <c r="V47" s="48">
        <v>3080</v>
      </c>
      <c r="W47" s="55">
        <v>0</v>
      </c>
      <c r="X47" s="54">
        <v>5750</v>
      </c>
      <c r="Y47" s="48">
        <v>1590</v>
      </c>
      <c r="Z47" s="55">
        <v>0</v>
      </c>
      <c r="AA47" s="54">
        <v>0</v>
      </c>
      <c r="AB47" s="48">
        <v>940</v>
      </c>
      <c r="AC47" s="55">
        <v>4</v>
      </c>
      <c r="AD47" s="54">
        <v>0</v>
      </c>
      <c r="AE47" s="48">
        <v>0</v>
      </c>
      <c r="AF47" s="55">
        <v>30</v>
      </c>
      <c r="AG47" s="54">
        <v>5210</v>
      </c>
      <c r="AH47" s="48">
        <v>6420</v>
      </c>
      <c r="AI47" s="55">
        <v>0</v>
      </c>
      <c r="AJ47" s="22">
        <f t="shared" si="156"/>
        <v>3766.7719780219786</v>
      </c>
      <c r="AK47" s="22">
        <f t="shared" si="157"/>
        <v>11718.846153846154</v>
      </c>
      <c r="AL47" s="22">
        <f t="shared" si="158"/>
        <v>8789.1346153846171</v>
      </c>
      <c r="AM47" s="22">
        <f t="shared" si="158"/>
        <v>8789.1346153846171</v>
      </c>
      <c r="AN47" s="22">
        <f t="shared" si="159"/>
        <v>5326.7482517482513</v>
      </c>
      <c r="AO47" s="22">
        <f t="shared" si="160"/>
        <v>3295.9254807692309</v>
      </c>
      <c r="AP47" s="22">
        <f t="shared" si="161"/>
        <v>6591.8509615384619</v>
      </c>
      <c r="AQ47" s="22">
        <f t="shared" si="162"/>
        <v>3295.9254807692309</v>
      </c>
      <c r="AR47" s="22">
        <f t="shared" si="162"/>
        <v>3295.9254807692309</v>
      </c>
      <c r="AS47" s="23">
        <f t="shared" si="163"/>
        <v>5859.4230769230771</v>
      </c>
      <c r="AT47" s="15">
        <f t="shared" si="146"/>
        <v>5</v>
      </c>
      <c r="AU47" s="16">
        <f t="shared" si="164"/>
        <v>5</v>
      </c>
      <c r="AV47" s="16">
        <f t="shared" si="165"/>
        <v>4</v>
      </c>
      <c r="AW47" s="16">
        <f t="shared" si="166"/>
        <v>5</v>
      </c>
      <c r="AX47" s="16">
        <f t="shared" si="167"/>
        <v>6</v>
      </c>
      <c r="AY47" s="16">
        <f t="shared" si="168"/>
        <v>5</v>
      </c>
      <c r="AZ47" s="16">
        <f t="shared" si="169"/>
        <v>1</v>
      </c>
      <c r="BA47" s="16">
        <f t="shared" si="170"/>
        <v>1</v>
      </c>
      <c r="BB47" s="16">
        <f t="shared" si="171"/>
        <v>0</v>
      </c>
      <c r="BC47" s="17">
        <f t="shared" si="172"/>
        <v>5</v>
      </c>
    </row>
    <row r="48" spans="1:55" s="24" customFormat="1" x14ac:dyDescent="0.3">
      <c r="A48" s="211" t="s">
        <v>56</v>
      </c>
      <c r="B48" s="218">
        <v>13091</v>
      </c>
      <c r="C48" s="213">
        <v>12980</v>
      </c>
      <c r="D48" s="205" t="s">
        <v>99</v>
      </c>
      <c r="E48" s="49">
        <v>43861</v>
      </c>
      <c r="F48" s="57">
        <v>1180</v>
      </c>
      <c r="G48" s="48">
        <v>1740</v>
      </c>
      <c r="H48" s="55">
        <v>0</v>
      </c>
      <c r="I48" s="54">
        <v>3140</v>
      </c>
      <c r="J48" s="48">
        <v>5280</v>
      </c>
      <c r="K48" s="53">
        <v>0</v>
      </c>
      <c r="L48" s="54">
        <v>2700</v>
      </c>
      <c r="M48" s="48">
        <v>3960</v>
      </c>
      <c r="N48" s="55">
        <v>0</v>
      </c>
      <c r="O48" s="54">
        <v>2628</v>
      </c>
      <c r="P48" s="48">
        <v>3960</v>
      </c>
      <c r="Q48" s="55">
        <v>0</v>
      </c>
      <c r="R48" s="54">
        <v>1763</v>
      </c>
      <c r="S48" s="48">
        <v>2537</v>
      </c>
      <c r="T48" s="55">
        <v>0</v>
      </c>
      <c r="U48" s="54">
        <v>1000</v>
      </c>
      <c r="V48" s="48">
        <v>1350</v>
      </c>
      <c r="W48" s="55">
        <v>0</v>
      </c>
      <c r="X48" s="54">
        <v>600</v>
      </c>
      <c r="Y48" s="48">
        <v>3140</v>
      </c>
      <c r="Z48" s="55">
        <v>0</v>
      </c>
      <c r="AA48" s="54">
        <v>0</v>
      </c>
      <c r="AB48" s="48">
        <v>440</v>
      </c>
      <c r="AC48" s="55">
        <v>4</v>
      </c>
      <c r="AD48" s="54">
        <v>0</v>
      </c>
      <c r="AE48" s="48">
        <v>0</v>
      </c>
      <c r="AF48" s="55">
        <v>30</v>
      </c>
      <c r="AG48" s="54">
        <v>1720</v>
      </c>
      <c r="AH48" s="48">
        <v>2750</v>
      </c>
      <c r="AI48" s="55">
        <v>0</v>
      </c>
      <c r="AJ48" s="22">
        <f t="shared" si="156"/>
        <v>1604.6703296703297</v>
      </c>
      <c r="AK48" s="22">
        <f t="shared" si="157"/>
        <v>4992.3076923076924</v>
      </c>
      <c r="AL48" s="22">
        <f t="shared" si="158"/>
        <v>3744.2307692307691</v>
      </c>
      <c r="AM48" s="22">
        <f t="shared" si="158"/>
        <v>3744.2307692307691</v>
      </c>
      <c r="AN48" s="22">
        <f t="shared" si="159"/>
        <v>2269.2307692307695</v>
      </c>
      <c r="AO48" s="22">
        <f t="shared" si="160"/>
        <v>1404.0865384615383</v>
      </c>
      <c r="AP48" s="22">
        <f t="shared" si="161"/>
        <v>2808.1730769230767</v>
      </c>
      <c r="AQ48" s="22">
        <f t="shared" si="162"/>
        <v>1404.0865384615383</v>
      </c>
      <c r="AR48" s="22">
        <f t="shared" si="162"/>
        <v>1404.0865384615383</v>
      </c>
      <c r="AS48" s="23">
        <f t="shared" si="163"/>
        <v>2496.1538461538462</v>
      </c>
      <c r="AT48" s="15">
        <f t="shared" si="146"/>
        <v>5</v>
      </c>
      <c r="AU48" s="16">
        <f t="shared" si="164"/>
        <v>5</v>
      </c>
      <c r="AV48" s="16">
        <f t="shared" si="165"/>
        <v>5</v>
      </c>
      <c r="AW48" s="16">
        <f t="shared" si="166"/>
        <v>5</v>
      </c>
      <c r="AX48" s="16">
        <f t="shared" si="167"/>
        <v>6</v>
      </c>
      <c r="AY48" s="16">
        <f t="shared" si="168"/>
        <v>5</v>
      </c>
      <c r="AZ48" s="16">
        <f t="shared" si="169"/>
        <v>6</v>
      </c>
      <c r="BA48" s="16">
        <f t="shared" si="170"/>
        <v>2</v>
      </c>
      <c r="BB48" s="16">
        <f t="shared" si="171"/>
        <v>0</v>
      </c>
      <c r="BC48" s="17">
        <f t="shared" si="172"/>
        <v>6</v>
      </c>
    </row>
    <row r="49" spans="1:55" s="24" customFormat="1" x14ac:dyDescent="0.3">
      <c r="A49" s="211" t="s">
        <v>51</v>
      </c>
      <c r="B49" s="218">
        <v>8421</v>
      </c>
      <c r="C49" s="213">
        <v>8350</v>
      </c>
      <c r="D49" s="205" t="s">
        <v>99</v>
      </c>
      <c r="E49" s="49">
        <v>43861</v>
      </c>
      <c r="F49" s="57">
        <v>1000</v>
      </c>
      <c r="G49" s="48">
        <v>1000</v>
      </c>
      <c r="H49" s="55">
        <v>0</v>
      </c>
      <c r="I49" s="54">
        <v>3000</v>
      </c>
      <c r="J49" s="48">
        <v>3020</v>
      </c>
      <c r="K49" s="53">
        <v>0</v>
      </c>
      <c r="L49" s="54">
        <v>2400</v>
      </c>
      <c r="M49" s="48">
        <v>2590</v>
      </c>
      <c r="N49" s="55">
        <v>0</v>
      </c>
      <c r="O49" s="54">
        <v>2400</v>
      </c>
      <c r="P49" s="48">
        <v>2624</v>
      </c>
      <c r="Q49" s="55">
        <v>0</v>
      </c>
      <c r="R49" s="54">
        <v>0</v>
      </c>
      <c r="S49" s="48">
        <v>1500</v>
      </c>
      <c r="T49" s="55">
        <v>0</v>
      </c>
      <c r="U49" s="54">
        <v>700</v>
      </c>
      <c r="V49" s="48">
        <v>900</v>
      </c>
      <c r="W49" s="55">
        <v>0</v>
      </c>
      <c r="X49" s="54">
        <v>1500</v>
      </c>
      <c r="Y49" s="48">
        <v>2000</v>
      </c>
      <c r="Z49" s="55">
        <v>0</v>
      </c>
      <c r="AA49" s="54">
        <v>0</v>
      </c>
      <c r="AB49" s="48">
        <v>0</v>
      </c>
      <c r="AC49" s="55">
        <v>4</v>
      </c>
      <c r="AD49" s="54">
        <v>0</v>
      </c>
      <c r="AE49" s="48">
        <v>0</v>
      </c>
      <c r="AF49" s="55">
        <v>30</v>
      </c>
      <c r="AG49" s="54">
        <v>1300</v>
      </c>
      <c r="AH49" s="48">
        <v>1820</v>
      </c>
      <c r="AI49" s="55">
        <v>0</v>
      </c>
      <c r="AJ49" s="22">
        <f t="shared" si="156"/>
        <v>1032.2802197802198</v>
      </c>
      <c r="AK49" s="22">
        <f t="shared" si="157"/>
        <v>3211.5384615384614</v>
      </c>
      <c r="AL49" s="22">
        <f t="shared" si="158"/>
        <v>2408.6538461538462</v>
      </c>
      <c r="AM49" s="22">
        <f t="shared" si="158"/>
        <v>2408.6538461538462</v>
      </c>
      <c r="AN49" s="22">
        <f t="shared" si="159"/>
        <v>1459.7902097902099</v>
      </c>
      <c r="AO49" s="22">
        <f t="shared" si="160"/>
        <v>903.24519230769226</v>
      </c>
      <c r="AP49" s="22">
        <f t="shared" si="161"/>
        <v>1806.4903846153845</v>
      </c>
      <c r="AQ49" s="22">
        <f t="shared" si="162"/>
        <v>903.24519230769226</v>
      </c>
      <c r="AR49" s="22">
        <f t="shared" si="162"/>
        <v>903.24519230769226</v>
      </c>
      <c r="AS49" s="23">
        <f t="shared" si="163"/>
        <v>1605.7692307692307</v>
      </c>
      <c r="AT49" s="15">
        <f t="shared" si="146"/>
        <v>5</v>
      </c>
      <c r="AU49" s="16">
        <f t="shared" si="164"/>
        <v>5</v>
      </c>
      <c r="AV49" s="16">
        <f t="shared" si="165"/>
        <v>5</v>
      </c>
      <c r="AW49" s="16">
        <f t="shared" si="166"/>
        <v>5</v>
      </c>
      <c r="AX49" s="16">
        <f t="shared" si="167"/>
        <v>5</v>
      </c>
      <c r="AY49" s="16">
        <f t="shared" si="168"/>
        <v>5</v>
      </c>
      <c r="AZ49" s="16">
        <f t="shared" si="169"/>
        <v>6</v>
      </c>
      <c r="BA49" s="16">
        <f t="shared" si="170"/>
        <v>0</v>
      </c>
      <c r="BB49" s="16">
        <f t="shared" si="171"/>
        <v>0</v>
      </c>
      <c r="BC49" s="17">
        <f t="shared" si="172"/>
        <v>6</v>
      </c>
    </row>
    <row r="50" spans="1:55" s="24" customFormat="1" x14ac:dyDescent="0.3">
      <c r="A50" s="211" t="s">
        <v>52</v>
      </c>
      <c r="B50" s="218">
        <v>24324</v>
      </c>
      <c r="C50" s="213">
        <v>24118</v>
      </c>
      <c r="D50" s="205" t="s">
        <v>99</v>
      </c>
      <c r="E50" s="49">
        <v>43861</v>
      </c>
      <c r="F50" s="57">
        <v>2000</v>
      </c>
      <c r="G50" s="48">
        <v>3000</v>
      </c>
      <c r="H50" s="55">
        <v>0</v>
      </c>
      <c r="I50" s="54">
        <v>6000</v>
      </c>
      <c r="J50" s="48">
        <v>8740</v>
      </c>
      <c r="K50" s="53">
        <v>0</v>
      </c>
      <c r="L50" s="54">
        <v>5000</v>
      </c>
      <c r="M50" s="48">
        <v>6880</v>
      </c>
      <c r="N50" s="55">
        <v>0</v>
      </c>
      <c r="O50" s="54">
        <v>6000</v>
      </c>
      <c r="P50" s="48">
        <v>7200</v>
      </c>
      <c r="Q50" s="55">
        <v>0</v>
      </c>
      <c r="R50" s="54">
        <v>3000</v>
      </c>
      <c r="S50" s="48">
        <v>4450</v>
      </c>
      <c r="T50" s="55">
        <v>0</v>
      </c>
      <c r="U50" s="54">
        <v>2500</v>
      </c>
      <c r="V50" s="48">
        <v>2700</v>
      </c>
      <c r="W50" s="55">
        <v>0</v>
      </c>
      <c r="X50" s="54">
        <v>2500</v>
      </c>
      <c r="Y50" s="48">
        <v>4720</v>
      </c>
      <c r="Z50" s="55">
        <v>0</v>
      </c>
      <c r="AA50" s="54">
        <v>0</v>
      </c>
      <c r="AB50" s="48">
        <v>290</v>
      </c>
      <c r="AC50" s="55">
        <v>4</v>
      </c>
      <c r="AD50" s="54">
        <v>0</v>
      </c>
      <c r="AE50" s="48">
        <v>0</v>
      </c>
      <c r="AF50" s="55">
        <v>30</v>
      </c>
      <c r="AG50" s="54">
        <v>2000</v>
      </c>
      <c r="AH50" s="48">
        <v>1950</v>
      </c>
      <c r="AI50" s="55">
        <v>0</v>
      </c>
      <c r="AJ50" s="22">
        <f t="shared" si="156"/>
        <v>2981.6208791208792</v>
      </c>
      <c r="AK50" s="22">
        <f t="shared" si="157"/>
        <v>9276.1538461538476</v>
      </c>
      <c r="AL50" s="22">
        <f t="shared" si="158"/>
        <v>6957.1153846153857</v>
      </c>
      <c r="AM50" s="22">
        <f t="shared" si="158"/>
        <v>6957.1153846153857</v>
      </c>
      <c r="AN50" s="22">
        <f t="shared" si="159"/>
        <v>4216.4335664335667</v>
      </c>
      <c r="AO50" s="22">
        <f t="shared" si="160"/>
        <v>2608.9182692307691</v>
      </c>
      <c r="AP50" s="22">
        <f t="shared" si="161"/>
        <v>5217.8365384615381</v>
      </c>
      <c r="AQ50" s="22">
        <f t="shared" si="162"/>
        <v>2608.9182692307691</v>
      </c>
      <c r="AR50" s="22">
        <f t="shared" si="162"/>
        <v>2608.9182692307691</v>
      </c>
      <c r="AS50" s="23">
        <f t="shared" si="163"/>
        <v>4638.0769230769238</v>
      </c>
      <c r="AT50" s="15">
        <f t="shared" si="146"/>
        <v>5</v>
      </c>
      <c r="AU50" s="16">
        <f t="shared" si="164"/>
        <v>5</v>
      </c>
      <c r="AV50" s="16">
        <f t="shared" si="165"/>
        <v>5</v>
      </c>
      <c r="AW50" s="16">
        <f t="shared" si="166"/>
        <v>5</v>
      </c>
      <c r="AX50" s="16">
        <f t="shared" si="167"/>
        <v>5</v>
      </c>
      <c r="AY50" s="16">
        <f t="shared" si="168"/>
        <v>5</v>
      </c>
      <c r="AZ50" s="16">
        <f t="shared" si="169"/>
        <v>5</v>
      </c>
      <c r="BA50" s="16">
        <f t="shared" si="170"/>
        <v>1</v>
      </c>
      <c r="BB50" s="16">
        <f t="shared" si="171"/>
        <v>0</v>
      </c>
      <c r="BC50" s="17">
        <f t="shared" si="172"/>
        <v>2</v>
      </c>
    </row>
    <row r="51" spans="1:55" s="24" customFormat="1" x14ac:dyDescent="0.3">
      <c r="A51" s="211" t="s">
        <v>53</v>
      </c>
      <c r="B51" s="218">
        <v>1378</v>
      </c>
      <c r="C51" s="213">
        <v>1366</v>
      </c>
      <c r="D51" s="205" t="s">
        <v>99</v>
      </c>
      <c r="E51" s="49">
        <v>43861</v>
      </c>
      <c r="F51" s="57">
        <v>160</v>
      </c>
      <c r="G51" s="48">
        <v>180</v>
      </c>
      <c r="H51" s="55">
        <v>0</v>
      </c>
      <c r="I51" s="54">
        <v>420</v>
      </c>
      <c r="J51" s="48">
        <v>520</v>
      </c>
      <c r="K51" s="53">
        <v>0</v>
      </c>
      <c r="L51" s="54">
        <v>0</v>
      </c>
      <c r="M51" s="48">
        <v>280</v>
      </c>
      <c r="N51" s="55">
        <v>4</v>
      </c>
      <c r="O51" s="54">
        <v>332</v>
      </c>
      <c r="P51" s="48">
        <v>376</v>
      </c>
      <c r="Q51" s="55">
        <v>0</v>
      </c>
      <c r="R51" s="54">
        <v>168</v>
      </c>
      <c r="S51" s="48">
        <v>228</v>
      </c>
      <c r="T51" s="55">
        <v>0</v>
      </c>
      <c r="U51" s="54">
        <v>120</v>
      </c>
      <c r="V51" s="48">
        <v>130</v>
      </c>
      <c r="W51" s="55">
        <v>0</v>
      </c>
      <c r="X51" s="54">
        <v>270</v>
      </c>
      <c r="Y51" s="48">
        <v>300</v>
      </c>
      <c r="Z51" s="55">
        <v>0</v>
      </c>
      <c r="AA51" s="54">
        <v>0</v>
      </c>
      <c r="AB51" s="48">
        <v>110</v>
      </c>
      <c r="AC51" s="55">
        <v>0</v>
      </c>
      <c r="AD51" s="54">
        <v>0</v>
      </c>
      <c r="AE51" s="48">
        <v>0</v>
      </c>
      <c r="AF51" s="55">
        <v>30</v>
      </c>
      <c r="AG51" s="54">
        <v>180</v>
      </c>
      <c r="AH51" s="48">
        <v>200</v>
      </c>
      <c r="AI51" s="55">
        <v>4</v>
      </c>
      <c r="AJ51" s="22">
        <f t="shared" si="156"/>
        <v>168.87362637362639</v>
      </c>
      <c r="AK51" s="22">
        <f t="shared" si="157"/>
        <v>525.38461538461547</v>
      </c>
      <c r="AL51" s="22">
        <f t="shared" si="158"/>
        <v>394.0384615384616</v>
      </c>
      <c r="AM51" s="22">
        <f t="shared" si="158"/>
        <v>394.0384615384616</v>
      </c>
      <c r="AN51" s="22">
        <f t="shared" si="159"/>
        <v>238.81118881118883</v>
      </c>
      <c r="AO51" s="22">
        <f t="shared" si="160"/>
        <v>147.76442307692309</v>
      </c>
      <c r="AP51" s="22">
        <f t="shared" si="161"/>
        <v>295.52884615384619</v>
      </c>
      <c r="AQ51" s="22">
        <f t="shared" si="162"/>
        <v>147.76442307692309</v>
      </c>
      <c r="AR51" s="22">
        <f t="shared" si="162"/>
        <v>147.76442307692309</v>
      </c>
      <c r="AS51" s="23">
        <f t="shared" si="163"/>
        <v>262.69230769230774</v>
      </c>
      <c r="AT51" s="15">
        <f t="shared" si="146"/>
        <v>5</v>
      </c>
      <c r="AU51" s="16">
        <f t="shared" si="164"/>
        <v>5</v>
      </c>
      <c r="AV51" s="16">
        <f t="shared" si="165"/>
        <v>4</v>
      </c>
      <c r="AW51" s="16">
        <f t="shared" si="166"/>
        <v>5</v>
      </c>
      <c r="AX51" s="16">
        <f t="shared" si="167"/>
        <v>5</v>
      </c>
      <c r="AY51" s="16">
        <f t="shared" si="168"/>
        <v>4</v>
      </c>
      <c r="AZ51" s="16">
        <f t="shared" si="169"/>
        <v>5</v>
      </c>
      <c r="BA51" s="16">
        <f t="shared" si="170"/>
        <v>4</v>
      </c>
      <c r="BB51" s="16">
        <f t="shared" si="171"/>
        <v>0</v>
      </c>
      <c r="BC51" s="17">
        <f t="shared" si="172"/>
        <v>4</v>
      </c>
    </row>
    <row r="52" spans="1:55" s="24" customFormat="1" x14ac:dyDescent="0.3">
      <c r="A52" s="211" t="s">
        <v>54</v>
      </c>
      <c r="B52" s="218">
        <v>8172</v>
      </c>
      <c r="C52" s="213">
        <v>8103</v>
      </c>
      <c r="D52" s="205" t="s">
        <v>99</v>
      </c>
      <c r="E52" s="49">
        <v>43861</v>
      </c>
      <c r="F52" s="57">
        <v>840</v>
      </c>
      <c r="G52" s="48">
        <v>1000</v>
      </c>
      <c r="H52" s="55">
        <v>0</v>
      </c>
      <c r="I52" s="54">
        <v>1820</v>
      </c>
      <c r="J52" s="48">
        <v>3020</v>
      </c>
      <c r="K52" s="53">
        <v>0</v>
      </c>
      <c r="L52" s="54">
        <v>1720</v>
      </c>
      <c r="M52" s="48">
        <v>2300</v>
      </c>
      <c r="N52" s="55">
        <v>0</v>
      </c>
      <c r="O52" s="54">
        <v>1652</v>
      </c>
      <c r="P52" s="48">
        <v>2380</v>
      </c>
      <c r="Q52" s="55">
        <v>0</v>
      </c>
      <c r="R52" s="54">
        <v>731</v>
      </c>
      <c r="S52" s="48">
        <v>1340</v>
      </c>
      <c r="T52" s="55">
        <v>0</v>
      </c>
      <c r="U52" s="54">
        <v>470</v>
      </c>
      <c r="V52" s="48">
        <v>780</v>
      </c>
      <c r="W52" s="55">
        <v>0</v>
      </c>
      <c r="X52" s="54">
        <v>270</v>
      </c>
      <c r="Y52" s="48">
        <v>1700</v>
      </c>
      <c r="Z52" s="55">
        <v>0</v>
      </c>
      <c r="AA52" s="54">
        <v>800</v>
      </c>
      <c r="AB52" s="48">
        <v>760</v>
      </c>
      <c r="AC52" s="55">
        <v>0</v>
      </c>
      <c r="AD52" s="54">
        <v>0</v>
      </c>
      <c r="AE52" s="48">
        <v>80</v>
      </c>
      <c r="AF52" s="55">
        <v>30</v>
      </c>
      <c r="AG52" s="54">
        <v>1260</v>
      </c>
      <c r="AH52" s="48">
        <v>1680</v>
      </c>
      <c r="AI52" s="55">
        <v>0</v>
      </c>
      <c r="AJ52" s="22">
        <f t="shared" si="156"/>
        <v>1001.7445054945053</v>
      </c>
      <c r="AK52" s="22">
        <f t="shared" si="157"/>
        <v>3116.5384615384614</v>
      </c>
      <c r="AL52" s="22">
        <f t="shared" si="158"/>
        <v>2337.4038461538462</v>
      </c>
      <c r="AM52" s="22">
        <f t="shared" si="158"/>
        <v>2337.4038461538462</v>
      </c>
      <c r="AN52" s="22">
        <f t="shared" si="159"/>
        <v>1416.6083916083917</v>
      </c>
      <c r="AO52" s="22">
        <f t="shared" si="160"/>
        <v>876.52644230769226</v>
      </c>
      <c r="AP52" s="22">
        <f t="shared" si="161"/>
        <v>1753.0528846153845</v>
      </c>
      <c r="AQ52" s="22">
        <f t="shared" si="162"/>
        <v>876.52644230769226</v>
      </c>
      <c r="AR52" s="22">
        <f t="shared" si="162"/>
        <v>876.52644230769226</v>
      </c>
      <c r="AS52" s="23">
        <f t="shared" si="163"/>
        <v>1558.2692307692307</v>
      </c>
      <c r="AT52" s="15">
        <f t="shared" si="146"/>
        <v>5</v>
      </c>
      <c r="AU52" s="16">
        <f t="shared" si="164"/>
        <v>5</v>
      </c>
      <c r="AV52" s="16">
        <f t="shared" si="165"/>
        <v>5</v>
      </c>
      <c r="AW52" s="16">
        <f t="shared" si="166"/>
        <v>5</v>
      </c>
      <c r="AX52" s="16">
        <f t="shared" si="167"/>
        <v>5</v>
      </c>
      <c r="AY52" s="16">
        <f t="shared" si="168"/>
        <v>4</v>
      </c>
      <c r="AZ52" s="16">
        <f t="shared" si="169"/>
        <v>5</v>
      </c>
      <c r="BA52" s="16">
        <f t="shared" si="170"/>
        <v>4</v>
      </c>
      <c r="BB52" s="16">
        <f t="shared" si="171"/>
        <v>0</v>
      </c>
      <c r="BC52" s="17">
        <f t="shared" si="172"/>
        <v>5</v>
      </c>
    </row>
    <row r="53" spans="1:55" x14ac:dyDescent="0.3">
      <c r="A53" s="211" t="s">
        <v>55</v>
      </c>
      <c r="B53" s="218">
        <v>2196</v>
      </c>
      <c r="C53" s="213">
        <v>2178</v>
      </c>
      <c r="D53" s="205" t="s">
        <v>99</v>
      </c>
      <c r="E53" s="49">
        <v>43861</v>
      </c>
      <c r="F53" s="57">
        <v>300</v>
      </c>
      <c r="G53" s="48">
        <v>300</v>
      </c>
      <c r="H53" s="55">
        <v>0</v>
      </c>
      <c r="I53" s="54">
        <v>340</v>
      </c>
      <c r="J53" s="48">
        <v>860</v>
      </c>
      <c r="K53" s="53">
        <v>0</v>
      </c>
      <c r="L53" s="54">
        <v>0</v>
      </c>
      <c r="M53" s="48">
        <v>100</v>
      </c>
      <c r="N53" s="55">
        <v>4</v>
      </c>
      <c r="O53" s="54">
        <v>500</v>
      </c>
      <c r="P53" s="48">
        <v>600</v>
      </c>
      <c r="Q53" s="55">
        <v>0</v>
      </c>
      <c r="R53" s="54">
        <v>400</v>
      </c>
      <c r="S53" s="48">
        <v>400</v>
      </c>
      <c r="T53" s="55">
        <v>0</v>
      </c>
      <c r="U53" s="54">
        <v>240</v>
      </c>
      <c r="V53" s="48">
        <v>240</v>
      </c>
      <c r="W53" s="55">
        <v>0</v>
      </c>
      <c r="X53" s="54">
        <v>300</v>
      </c>
      <c r="Y53" s="48">
        <v>520</v>
      </c>
      <c r="Z53" s="55">
        <v>0</v>
      </c>
      <c r="AA53" s="54">
        <v>190</v>
      </c>
      <c r="AB53" s="48">
        <v>190</v>
      </c>
      <c r="AC53" s="55">
        <v>4</v>
      </c>
      <c r="AD53" s="54">
        <v>0</v>
      </c>
      <c r="AE53" s="48">
        <v>0</v>
      </c>
      <c r="AF53" s="55">
        <v>30</v>
      </c>
      <c r="AG53" s="54">
        <v>0</v>
      </c>
      <c r="AH53" s="48">
        <v>90</v>
      </c>
      <c r="AI53" s="55">
        <v>4</v>
      </c>
      <c r="AJ53" s="22">
        <f t="shared" si="156"/>
        <v>269.25824175824175</v>
      </c>
      <c r="AK53" s="22">
        <f t="shared" si="157"/>
        <v>837.69230769230774</v>
      </c>
      <c r="AL53" s="22">
        <f t="shared" si="158"/>
        <v>628.26923076923083</v>
      </c>
      <c r="AM53" s="22">
        <f t="shared" si="158"/>
        <v>628.26923076923083</v>
      </c>
      <c r="AN53" s="22">
        <f t="shared" si="159"/>
        <v>380.76923076923083</v>
      </c>
      <c r="AO53" s="22">
        <f t="shared" si="160"/>
        <v>235.60096153846155</v>
      </c>
      <c r="AP53" s="22">
        <f t="shared" si="161"/>
        <v>471.20192307692309</v>
      </c>
      <c r="AQ53" s="22">
        <f t="shared" si="162"/>
        <v>235.60096153846155</v>
      </c>
      <c r="AR53" s="22">
        <f t="shared" si="162"/>
        <v>235.60096153846155</v>
      </c>
      <c r="AS53" s="23">
        <f t="shared" si="163"/>
        <v>418.84615384615387</v>
      </c>
      <c r="AT53" s="31">
        <f t="shared" si="146"/>
        <v>6</v>
      </c>
      <c r="AU53" s="32">
        <f t="shared" si="164"/>
        <v>5</v>
      </c>
      <c r="AV53" s="32">
        <f t="shared" si="165"/>
        <v>1</v>
      </c>
      <c r="AW53" s="32">
        <f t="shared" si="166"/>
        <v>5</v>
      </c>
      <c r="AX53" s="32">
        <f t="shared" si="167"/>
        <v>5</v>
      </c>
      <c r="AY53" s="32">
        <f t="shared" si="168"/>
        <v>5</v>
      </c>
      <c r="AZ53" s="32">
        <f t="shared" si="169"/>
        <v>6</v>
      </c>
      <c r="BA53" s="32">
        <f t="shared" si="170"/>
        <v>4</v>
      </c>
      <c r="BB53" s="32">
        <f t="shared" si="171"/>
        <v>0</v>
      </c>
      <c r="BC53" s="33">
        <f t="shared" si="172"/>
        <v>1</v>
      </c>
    </row>
    <row r="54" spans="1:55" x14ac:dyDescent="0.3">
      <c r="A54" s="208" t="s">
        <v>146</v>
      </c>
      <c r="B54" s="215">
        <v>170533</v>
      </c>
      <c r="C54" s="210">
        <v>167799</v>
      </c>
      <c r="D54" s="205" t="s">
        <v>99</v>
      </c>
      <c r="E54" s="49">
        <v>43861</v>
      </c>
      <c r="F54" s="54">
        <v>0</v>
      </c>
      <c r="G54" s="48">
        <v>8440</v>
      </c>
      <c r="H54" s="55">
        <v>0</v>
      </c>
      <c r="I54" s="54">
        <v>0</v>
      </c>
      <c r="J54" s="48">
        <v>75240</v>
      </c>
      <c r="K54" s="55">
        <v>0</v>
      </c>
      <c r="L54" s="54">
        <v>0</v>
      </c>
      <c r="M54" s="48">
        <v>47850</v>
      </c>
      <c r="N54" s="55">
        <v>0</v>
      </c>
      <c r="O54" s="54">
        <v>0</v>
      </c>
      <c r="P54" s="48">
        <v>49128</v>
      </c>
      <c r="Q54" s="55">
        <v>0</v>
      </c>
      <c r="R54" s="54">
        <v>0</v>
      </c>
      <c r="S54" s="48">
        <v>29600</v>
      </c>
      <c r="T54" s="55">
        <v>0</v>
      </c>
      <c r="U54" s="54">
        <v>0</v>
      </c>
      <c r="V54" s="48">
        <v>15860</v>
      </c>
      <c r="W54" s="55">
        <v>0</v>
      </c>
      <c r="X54" s="54">
        <v>0</v>
      </c>
      <c r="Y54" s="48">
        <v>63720</v>
      </c>
      <c r="Z54" s="55">
        <v>0</v>
      </c>
      <c r="AA54" s="54">
        <v>0</v>
      </c>
      <c r="AB54" s="48">
        <v>19000</v>
      </c>
      <c r="AC54" s="55">
        <v>0</v>
      </c>
      <c r="AD54" s="54">
        <v>0</v>
      </c>
      <c r="AE54" s="48">
        <v>0</v>
      </c>
      <c r="AF54" s="55">
        <v>26</v>
      </c>
      <c r="AG54" s="54">
        <v>0</v>
      </c>
      <c r="AH54" s="48">
        <v>28600</v>
      </c>
      <c r="AI54" s="55"/>
      <c r="AJ54" s="21">
        <f>((B54*0.9*1.43)/52)*15</f>
        <v>63310.376250000001</v>
      </c>
      <c r="AK54" s="21">
        <f>((C54*0.9*4*1.25)/52)*15</f>
        <v>217816.00961538462</v>
      </c>
      <c r="AL54" s="21">
        <f>((C54*0.9*3*1.11)/52)*15</f>
        <v>145065.46240384618</v>
      </c>
      <c r="AM54" s="21">
        <f>((C54*0.9*3*1.11)/52)*15</f>
        <v>145065.46240384618</v>
      </c>
      <c r="AN54" s="21">
        <f>((C54*0.9*2*1.05)/52)*15</f>
        <v>91482.724038461543</v>
      </c>
      <c r="AO54" s="21">
        <f>((C54*0.9*1*1.25)/52)*15</f>
        <v>54454.002403846156</v>
      </c>
      <c r="AP54" s="21">
        <f>((C54*0.9*2*1.25)/52)*15</f>
        <v>108908.00480769231</v>
      </c>
      <c r="AQ54" s="21">
        <f>((C54*0.9*1*1.25)/52)*15</f>
        <v>54454.002403846156</v>
      </c>
      <c r="AR54" s="21">
        <f>((C54*0.9*1*1.25)/52)*15</f>
        <v>54454.002403846156</v>
      </c>
      <c r="AS54" s="21">
        <f>((B54*0.9*2*1.11)/52)*15</f>
        <v>98286.038653846175</v>
      </c>
      <c r="AT54" s="15">
        <f>ROUND(G54/(AJ54/15),0)</f>
        <v>2</v>
      </c>
      <c r="AU54" s="16">
        <f t="shared" ref="AU54" si="173">ROUND(J54/(AK54/15),0)</f>
        <v>5</v>
      </c>
      <c r="AV54" s="16">
        <f t="shared" ref="AV54" si="174">ROUND(M54/(AL54/15),0)</f>
        <v>5</v>
      </c>
      <c r="AW54" s="16">
        <f t="shared" ref="AW54" si="175">ROUND(P54/(AM54/15),0)</f>
        <v>5</v>
      </c>
      <c r="AX54" s="16">
        <f t="shared" ref="AX54" si="176">ROUND(S54/(AN54/15),0)</f>
        <v>5</v>
      </c>
      <c r="AY54" s="16">
        <f t="shared" ref="AY54" si="177">ROUND(V54/(AO54/15),0)</f>
        <v>4</v>
      </c>
      <c r="AZ54" s="16">
        <f t="shared" ref="AZ54" si="178">ROUND(Y54/(AP54/15),0)</f>
        <v>9</v>
      </c>
      <c r="BA54" s="16">
        <f t="shared" ref="BA54" si="179">ROUND(AB54/(AQ54/15),0)</f>
        <v>5</v>
      </c>
      <c r="BB54" s="16">
        <f t="shared" ref="BB54" si="180">ROUND(AE54/(AR54/15),0)</f>
        <v>0</v>
      </c>
      <c r="BC54" s="17">
        <f t="shared" ref="BC54" si="181">ROUND(AH54/(AS54/15),0)</f>
        <v>4</v>
      </c>
    </row>
    <row r="55" spans="1:55" x14ac:dyDescent="0.3">
      <c r="A55" s="211" t="s">
        <v>21</v>
      </c>
      <c r="B55" s="212">
        <v>9038</v>
      </c>
      <c r="C55" s="213">
        <v>8893</v>
      </c>
      <c r="D55" s="205" t="s">
        <v>99</v>
      </c>
      <c r="E55" s="49">
        <v>43861</v>
      </c>
      <c r="F55" s="54">
        <v>1120</v>
      </c>
      <c r="G55" s="48">
        <v>100</v>
      </c>
      <c r="H55" s="55">
        <v>0</v>
      </c>
      <c r="I55" s="54">
        <v>2260</v>
      </c>
      <c r="J55" s="48">
        <v>880</v>
      </c>
      <c r="K55" s="55">
        <v>0</v>
      </c>
      <c r="L55" s="54">
        <v>1900</v>
      </c>
      <c r="M55" s="48">
        <v>420</v>
      </c>
      <c r="N55" s="55">
        <v>0</v>
      </c>
      <c r="O55" s="54">
        <v>1888</v>
      </c>
      <c r="P55" s="48">
        <v>452</v>
      </c>
      <c r="Q55" s="55">
        <v>0</v>
      </c>
      <c r="R55" s="54">
        <v>750</v>
      </c>
      <c r="S55" s="48">
        <v>531</v>
      </c>
      <c r="T55" s="55">
        <v>0</v>
      </c>
      <c r="U55" s="54">
        <v>620</v>
      </c>
      <c r="V55" s="48">
        <v>110</v>
      </c>
      <c r="W55" s="55">
        <v>0</v>
      </c>
      <c r="X55" s="54">
        <v>1110</v>
      </c>
      <c r="Y55" s="48">
        <v>710</v>
      </c>
      <c r="Z55" s="55">
        <v>0</v>
      </c>
      <c r="AA55" s="54">
        <v>780</v>
      </c>
      <c r="AB55" s="48">
        <v>140</v>
      </c>
      <c r="AC55" s="55">
        <v>0</v>
      </c>
      <c r="AD55" s="54">
        <v>0</v>
      </c>
      <c r="AE55" s="48">
        <v>0</v>
      </c>
      <c r="AF55" s="55">
        <v>23</v>
      </c>
      <c r="AG55" s="54">
        <v>920</v>
      </c>
      <c r="AH55" s="48">
        <v>430</v>
      </c>
      <c r="AI55" s="55"/>
      <c r="AJ55" s="22">
        <f>(($C55*AJ$5*1*(1/(1-0.3)))/52)*5</f>
        <v>1099.4093406593406</v>
      </c>
      <c r="AK55" s="22">
        <f>(($C55*AK$5*4*(1/(1-0.1)))/52)*5</f>
        <v>3420.3846153846152</v>
      </c>
      <c r="AL55" s="22">
        <f>(($C55*AL$5*3*(1/(1-0.1)))/52)*5</f>
        <v>2565.2884615384614</v>
      </c>
      <c r="AM55" s="22">
        <f>(($C55*AM$5*3*(1/(1-0.1)))/52)*5</f>
        <v>2565.2884615384614</v>
      </c>
      <c r="AN55" s="22">
        <f>(($C55*AN$5*2*(1/(1-0.01)))/52)*5</f>
        <v>1554.7202797202797</v>
      </c>
      <c r="AO55" s="22">
        <f>(($C55*AO$5*1*(1/(1-0.2)))/52)*5</f>
        <v>961.98317307692309</v>
      </c>
      <c r="AP55" s="22">
        <f>(($C55*AP$5*2*(1/(1-0.2)))/52)*5</f>
        <v>1923.9663461538462</v>
      </c>
      <c r="AQ55" s="22">
        <f>(($C55*AQ$5*1*(1/(1-0.2)))/52)*5</f>
        <v>961.98317307692309</v>
      </c>
      <c r="AR55" s="22">
        <f>(($C55*AR$5*1*(1/(1-0.2)))/52)*5</f>
        <v>961.98317307692309</v>
      </c>
      <c r="AS55" s="23">
        <f>(($C55*AS$5*2*(1/(1-0.1)))/52)*5</f>
        <v>1710.1923076923076</v>
      </c>
      <c r="AT55" s="15">
        <f t="shared" ref="AT55:AT67" si="182">ROUND(G55/(AJ55/5),0)</f>
        <v>0</v>
      </c>
      <c r="AU55" s="16">
        <f t="shared" ref="AU55" si="183">ROUND(J55/(AK55/5),0)</f>
        <v>1</v>
      </c>
      <c r="AV55" s="16">
        <f t="shared" ref="AV55" si="184">ROUND(M55/(AL55/5),0)</f>
        <v>1</v>
      </c>
      <c r="AW55" s="16">
        <f t="shared" ref="AW55" si="185">ROUND(P55/(AM55/5),0)</f>
        <v>1</v>
      </c>
      <c r="AX55" s="16">
        <f t="shared" ref="AX55" si="186">ROUND(S55/(AN55/5),0)</f>
        <v>2</v>
      </c>
      <c r="AY55" s="16">
        <f t="shared" ref="AY55" si="187">ROUND(V55/(AO55/5),0)</f>
        <v>1</v>
      </c>
      <c r="AZ55" s="16">
        <f t="shared" ref="AZ55" si="188">ROUND(Y55/(AP55/5),0)</f>
        <v>2</v>
      </c>
      <c r="BA55" s="16">
        <f t="shared" ref="BA55" si="189">ROUND(AB55/(AQ55/5),0)</f>
        <v>1</v>
      </c>
      <c r="BB55" s="16">
        <f t="shared" ref="BB55" si="190">ROUND(AE55/(AR55/5),0)</f>
        <v>0</v>
      </c>
      <c r="BC55" s="17">
        <f t="shared" ref="BC55" si="191">ROUND(AH55/(AS55/5),0)</f>
        <v>1</v>
      </c>
    </row>
    <row r="56" spans="1:55" x14ac:dyDescent="0.3">
      <c r="A56" s="211" t="s">
        <v>22</v>
      </c>
      <c r="B56" s="212">
        <v>3573</v>
      </c>
      <c r="C56" s="213">
        <v>3515</v>
      </c>
      <c r="D56" s="205" t="s">
        <v>99</v>
      </c>
      <c r="E56" s="49">
        <v>43861</v>
      </c>
      <c r="F56" s="54">
        <v>200</v>
      </c>
      <c r="G56" s="48">
        <v>400</v>
      </c>
      <c r="H56" s="55">
        <v>0</v>
      </c>
      <c r="I56" s="54">
        <v>400</v>
      </c>
      <c r="J56" s="48">
        <v>400</v>
      </c>
      <c r="K56" s="55">
        <v>0</v>
      </c>
      <c r="L56" s="54">
        <v>400</v>
      </c>
      <c r="M56" s="48">
        <v>400</v>
      </c>
      <c r="N56" s="55">
        <v>0</v>
      </c>
      <c r="O56" s="54">
        <v>400</v>
      </c>
      <c r="P56" s="48">
        <v>400</v>
      </c>
      <c r="Q56" s="55">
        <v>0</v>
      </c>
      <c r="R56" s="54">
        <v>400</v>
      </c>
      <c r="S56" s="48">
        <v>400</v>
      </c>
      <c r="T56" s="55">
        <v>0</v>
      </c>
      <c r="U56" s="54">
        <v>400</v>
      </c>
      <c r="V56" s="48">
        <v>400</v>
      </c>
      <c r="W56" s="55">
        <v>0</v>
      </c>
      <c r="X56" s="54">
        <v>400</v>
      </c>
      <c r="Y56" s="48">
        <v>400</v>
      </c>
      <c r="Z56" s="55">
        <v>0</v>
      </c>
      <c r="AA56" s="54">
        <v>390</v>
      </c>
      <c r="AB56" s="48">
        <v>400</v>
      </c>
      <c r="AC56" s="55">
        <v>0</v>
      </c>
      <c r="AD56" s="54">
        <v>0</v>
      </c>
      <c r="AE56" s="48">
        <v>0</v>
      </c>
      <c r="AF56" s="55">
        <v>30</v>
      </c>
      <c r="AG56" s="54">
        <v>400</v>
      </c>
      <c r="AH56" s="48">
        <v>500</v>
      </c>
      <c r="AI56" s="55"/>
      <c r="AJ56" s="22">
        <f t="shared" ref="AJ56:AJ67" si="192">(($C56*AJ$5*1*(1/(1-0.3)))/52)*5</f>
        <v>434.54670329670336</v>
      </c>
      <c r="AK56" s="22">
        <f t="shared" ref="AK56:AK67" si="193">(($C56*AK$5*4*(1/(1-0.1)))/52)*5</f>
        <v>1351.9230769230767</v>
      </c>
      <c r="AL56" s="22">
        <f t="shared" ref="AL56:AM67" si="194">(($C56*AL$5*3*(1/(1-0.1)))/52)*5</f>
        <v>1013.9423076923077</v>
      </c>
      <c r="AM56" s="22">
        <f t="shared" si="194"/>
        <v>1013.9423076923077</v>
      </c>
      <c r="AN56" s="22">
        <f t="shared" ref="AN56:AN67" si="195">(($C56*AN$5*2*(1/(1-0.01)))/52)*5</f>
        <v>614.51048951048949</v>
      </c>
      <c r="AO56" s="22">
        <f t="shared" ref="AO56:AO67" si="196">(($C56*AO$5*1*(1/(1-0.2)))/52)*5</f>
        <v>380.22836538461542</v>
      </c>
      <c r="AP56" s="22">
        <f t="shared" ref="AP56:AP67" si="197">(($C56*AP$5*2*(1/(1-0.2)))/52)*5</f>
        <v>760.45673076923083</v>
      </c>
      <c r="AQ56" s="22">
        <f t="shared" ref="AQ56:AR67" si="198">(($C56*AQ$5*1*(1/(1-0.2)))/52)*5</f>
        <v>380.22836538461542</v>
      </c>
      <c r="AR56" s="22">
        <f t="shared" si="198"/>
        <v>380.22836538461542</v>
      </c>
      <c r="AS56" s="23">
        <f t="shared" ref="AS56:AS67" si="199">(($C56*AS$5*2*(1/(1-0.1)))/52)*5</f>
        <v>675.96153846153834</v>
      </c>
      <c r="AT56" s="15">
        <f t="shared" si="182"/>
        <v>5</v>
      </c>
      <c r="AU56" s="16">
        <f t="shared" ref="AU56:AU66" si="200">ROUND(J56/(AK56/5),0)</f>
        <v>1</v>
      </c>
      <c r="AV56" s="16">
        <f t="shared" ref="AV56:AV66" si="201">ROUND(M56/(AL56/5),0)</f>
        <v>2</v>
      </c>
      <c r="AW56" s="16">
        <f t="shared" ref="AW56:AW66" si="202">ROUND(P56/(AM56/5),0)</f>
        <v>2</v>
      </c>
      <c r="AX56" s="16">
        <f t="shared" ref="AX56:AX66" si="203">ROUND(S56/(AN56/5),0)</f>
        <v>3</v>
      </c>
      <c r="AY56" s="16">
        <f t="shared" ref="AY56:AY66" si="204">ROUND(V56/(AO56/5),0)</f>
        <v>5</v>
      </c>
      <c r="AZ56" s="16">
        <f t="shared" ref="AZ56:AZ66" si="205">ROUND(Y56/(AP56/5),0)</f>
        <v>3</v>
      </c>
      <c r="BA56" s="16">
        <f t="shared" ref="BA56:BA66" si="206">ROUND(AB56/(AQ56/5),0)</f>
        <v>5</v>
      </c>
      <c r="BB56" s="16">
        <f t="shared" ref="BB56:BB66" si="207">ROUND(AE56/(AR56/5),0)</f>
        <v>0</v>
      </c>
      <c r="BC56" s="17">
        <f t="shared" ref="BC56:BC66" si="208">ROUND(AH56/(AS56/5),0)</f>
        <v>4</v>
      </c>
    </row>
    <row r="57" spans="1:55" x14ac:dyDescent="0.3">
      <c r="A57" s="211" t="s">
        <v>25</v>
      </c>
      <c r="B57" s="212">
        <v>6710</v>
      </c>
      <c r="C57" s="213">
        <v>6603</v>
      </c>
      <c r="D57" s="205" t="s">
        <v>99</v>
      </c>
      <c r="E57" s="49">
        <v>43861</v>
      </c>
      <c r="F57" s="54">
        <v>780</v>
      </c>
      <c r="G57" s="48">
        <v>180</v>
      </c>
      <c r="H57" s="55">
        <v>0</v>
      </c>
      <c r="I57" s="54">
        <v>1360</v>
      </c>
      <c r="J57" s="48">
        <v>820</v>
      </c>
      <c r="K57" s="55">
        <v>0</v>
      </c>
      <c r="L57" s="54">
        <v>910</v>
      </c>
      <c r="M57" s="48">
        <v>450</v>
      </c>
      <c r="N57" s="55">
        <v>0</v>
      </c>
      <c r="O57" s="54">
        <v>1080</v>
      </c>
      <c r="P57" s="48">
        <v>464</v>
      </c>
      <c r="Q57" s="55">
        <v>0</v>
      </c>
      <c r="R57" s="54">
        <v>800</v>
      </c>
      <c r="S57" s="48">
        <v>327</v>
      </c>
      <c r="T57" s="55">
        <v>0</v>
      </c>
      <c r="U57" s="54">
        <v>450</v>
      </c>
      <c r="V57" s="48">
        <v>360</v>
      </c>
      <c r="W57" s="55">
        <v>0</v>
      </c>
      <c r="X57" s="54">
        <v>600</v>
      </c>
      <c r="Y57" s="48">
        <v>1120</v>
      </c>
      <c r="Z57" s="55">
        <v>0</v>
      </c>
      <c r="AA57" s="54">
        <v>510</v>
      </c>
      <c r="AB57" s="48">
        <v>280</v>
      </c>
      <c r="AC57" s="55">
        <v>0</v>
      </c>
      <c r="AD57" s="54">
        <v>0</v>
      </c>
      <c r="AE57" s="48">
        <v>0</v>
      </c>
      <c r="AF57" s="55">
        <v>23</v>
      </c>
      <c r="AG57" s="54">
        <v>630</v>
      </c>
      <c r="AH57" s="48">
        <v>710</v>
      </c>
      <c r="AI57" s="55"/>
      <c r="AJ57" s="22">
        <f t="shared" si="192"/>
        <v>816.30494505494516</v>
      </c>
      <c r="AK57" s="22">
        <f t="shared" si="193"/>
        <v>2539.6153846153848</v>
      </c>
      <c r="AL57" s="22">
        <f t="shared" si="194"/>
        <v>1904.7115384615383</v>
      </c>
      <c r="AM57" s="22">
        <f t="shared" si="194"/>
        <v>1904.7115384615383</v>
      </c>
      <c r="AN57" s="22">
        <f t="shared" si="195"/>
        <v>1154.3706293706296</v>
      </c>
      <c r="AO57" s="22">
        <f t="shared" si="196"/>
        <v>714.26682692307691</v>
      </c>
      <c r="AP57" s="22">
        <f t="shared" si="197"/>
        <v>1428.5336538461538</v>
      </c>
      <c r="AQ57" s="22">
        <f t="shared" si="198"/>
        <v>714.26682692307691</v>
      </c>
      <c r="AR57" s="22">
        <f t="shared" si="198"/>
        <v>714.26682692307691</v>
      </c>
      <c r="AS57" s="23">
        <f t="shared" si="199"/>
        <v>1269.8076923076924</v>
      </c>
      <c r="AT57" s="15">
        <f t="shared" si="182"/>
        <v>1</v>
      </c>
      <c r="AU57" s="16">
        <f t="shared" si="200"/>
        <v>2</v>
      </c>
      <c r="AV57" s="16">
        <f t="shared" si="201"/>
        <v>1</v>
      </c>
      <c r="AW57" s="16">
        <f t="shared" si="202"/>
        <v>1</v>
      </c>
      <c r="AX57" s="16">
        <f t="shared" si="203"/>
        <v>1</v>
      </c>
      <c r="AY57" s="16">
        <f t="shared" si="204"/>
        <v>3</v>
      </c>
      <c r="AZ57" s="16">
        <f t="shared" si="205"/>
        <v>4</v>
      </c>
      <c r="BA57" s="16">
        <f t="shared" si="206"/>
        <v>2</v>
      </c>
      <c r="BB57" s="16">
        <f t="shared" si="207"/>
        <v>0</v>
      </c>
      <c r="BC57" s="17">
        <f t="shared" si="208"/>
        <v>3</v>
      </c>
    </row>
    <row r="58" spans="1:55" x14ac:dyDescent="0.3">
      <c r="A58" s="211" t="s">
        <v>23</v>
      </c>
      <c r="B58" s="212">
        <v>4193</v>
      </c>
      <c r="C58" s="213">
        <v>4126</v>
      </c>
      <c r="D58" s="205" t="s">
        <v>99</v>
      </c>
      <c r="E58" s="49">
        <v>43861</v>
      </c>
      <c r="F58" s="54">
        <v>520</v>
      </c>
      <c r="G58" s="48">
        <v>0</v>
      </c>
      <c r="H58" s="55">
        <v>12</v>
      </c>
      <c r="I58" s="54">
        <v>1740</v>
      </c>
      <c r="J58" s="48">
        <v>360</v>
      </c>
      <c r="K58" s="55">
        <v>0</v>
      </c>
      <c r="L58" s="54">
        <v>1160</v>
      </c>
      <c r="M58" s="48">
        <v>210</v>
      </c>
      <c r="N58" s="55">
        <v>0</v>
      </c>
      <c r="O58" s="54">
        <v>600</v>
      </c>
      <c r="P58" s="48">
        <v>176</v>
      </c>
      <c r="Q58" s="55">
        <v>0</v>
      </c>
      <c r="R58" s="54">
        <v>750</v>
      </c>
      <c r="S58" s="48">
        <v>205</v>
      </c>
      <c r="T58" s="55">
        <v>0</v>
      </c>
      <c r="U58" s="54">
        <v>180</v>
      </c>
      <c r="V58" s="48">
        <v>0</v>
      </c>
      <c r="W58" s="55">
        <v>12</v>
      </c>
      <c r="X58" s="54">
        <v>260</v>
      </c>
      <c r="Y58" s="48">
        <v>100</v>
      </c>
      <c r="Z58" s="55">
        <v>0</v>
      </c>
      <c r="AA58" s="54">
        <v>340</v>
      </c>
      <c r="AB58" s="48">
        <v>60</v>
      </c>
      <c r="AC58" s="55">
        <v>0</v>
      </c>
      <c r="AD58" s="54">
        <v>0</v>
      </c>
      <c r="AE58" s="48">
        <v>0</v>
      </c>
      <c r="AF58" s="55">
        <v>30</v>
      </c>
      <c r="AG58" s="54">
        <v>500</v>
      </c>
      <c r="AH58" s="48">
        <v>310</v>
      </c>
      <c r="AI58" s="55"/>
      <c r="AJ58" s="22">
        <f t="shared" si="192"/>
        <v>510.08241758241758</v>
      </c>
      <c r="AK58" s="22">
        <f t="shared" si="193"/>
        <v>1586.9230769230767</v>
      </c>
      <c r="AL58" s="22">
        <f t="shared" si="194"/>
        <v>1190.1923076923078</v>
      </c>
      <c r="AM58" s="22">
        <f t="shared" si="194"/>
        <v>1190.1923076923078</v>
      </c>
      <c r="AN58" s="22">
        <f t="shared" si="195"/>
        <v>721.32867132867148</v>
      </c>
      <c r="AO58" s="22">
        <f t="shared" si="196"/>
        <v>446.32211538461542</v>
      </c>
      <c r="AP58" s="22">
        <f t="shared" si="197"/>
        <v>892.64423076923083</v>
      </c>
      <c r="AQ58" s="22">
        <f t="shared" si="198"/>
        <v>446.32211538461542</v>
      </c>
      <c r="AR58" s="22">
        <f t="shared" si="198"/>
        <v>446.32211538461542</v>
      </c>
      <c r="AS58" s="23">
        <f t="shared" si="199"/>
        <v>793.46153846153834</v>
      </c>
      <c r="AT58" s="15">
        <f t="shared" si="182"/>
        <v>0</v>
      </c>
      <c r="AU58" s="16">
        <f t="shared" si="200"/>
        <v>1</v>
      </c>
      <c r="AV58" s="16">
        <f t="shared" si="201"/>
        <v>1</v>
      </c>
      <c r="AW58" s="16">
        <f t="shared" si="202"/>
        <v>1</v>
      </c>
      <c r="AX58" s="16">
        <f t="shared" si="203"/>
        <v>1</v>
      </c>
      <c r="AY58" s="16">
        <f t="shared" si="204"/>
        <v>0</v>
      </c>
      <c r="AZ58" s="16">
        <f t="shared" si="205"/>
        <v>1</v>
      </c>
      <c r="BA58" s="16">
        <f t="shared" si="206"/>
        <v>1</v>
      </c>
      <c r="BB58" s="16">
        <f t="shared" si="207"/>
        <v>0</v>
      </c>
      <c r="BC58" s="17">
        <f t="shared" si="208"/>
        <v>2</v>
      </c>
    </row>
    <row r="59" spans="1:55" x14ac:dyDescent="0.3">
      <c r="A59" s="211" t="s">
        <v>24</v>
      </c>
      <c r="B59" s="212">
        <v>5317</v>
      </c>
      <c r="C59" s="213">
        <v>5232</v>
      </c>
      <c r="D59" s="205" t="s">
        <v>99</v>
      </c>
      <c r="E59" s="49">
        <v>43861</v>
      </c>
      <c r="F59" s="54">
        <v>720</v>
      </c>
      <c r="G59" s="48">
        <v>220</v>
      </c>
      <c r="H59" s="55">
        <v>0</v>
      </c>
      <c r="I59" s="54">
        <v>1760</v>
      </c>
      <c r="J59" s="48">
        <v>1260</v>
      </c>
      <c r="K59" s="55">
        <v>0</v>
      </c>
      <c r="L59" s="54">
        <v>1500</v>
      </c>
      <c r="M59" s="48">
        <v>170</v>
      </c>
      <c r="N59" s="55">
        <v>0</v>
      </c>
      <c r="O59" s="54">
        <v>1400</v>
      </c>
      <c r="P59" s="48">
        <v>1132</v>
      </c>
      <c r="Q59" s="55">
        <v>0</v>
      </c>
      <c r="R59" s="54">
        <v>850</v>
      </c>
      <c r="S59" s="48">
        <v>473</v>
      </c>
      <c r="T59" s="55">
        <v>0</v>
      </c>
      <c r="U59" s="54">
        <v>500</v>
      </c>
      <c r="V59" s="48">
        <v>170</v>
      </c>
      <c r="W59" s="55">
        <v>0</v>
      </c>
      <c r="X59" s="54">
        <v>1000</v>
      </c>
      <c r="Y59" s="48">
        <v>1040</v>
      </c>
      <c r="Z59" s="55">
        <v>0</v>
      </c>
      <c r="AA59" s="54">
        <v>500</v>
      </c>
      <c r="AB59" s="48">
        <v>410</v>
      </c>
      <c r="AC59" s="55">
        <v>0</v>
      </c>
      <c r="AD59" s="54">
        <v>0</v>
      </c>
      <c r="AE59" s="48">
        <v>10</v>
      </c>
      <c r="AF59" s="55"/>
      <c r="AG59" s="54">
        <v>1000</v>
      </c>
      <c r="AH59" s="48">
        <v>370</v>
      </c>
      <c r="AI59" s="55"/>
      <c r="AJ59" s="22">
        <f t="shared" si="192"/>
        <v>646.8131868131868</v>
      </c>
      <c r="AK59" s="22">
        <f t="shared" si="193"/>
        <v>2012.3076923076924</v>
      </c>
      <c r="AL59" s="22">
        <f t="shared" si="194"/>
        <v>1509.2307692307693</v>
      </c>
      <c r="AM59" s="22">
        <f t="shared" si="194"/>
        <v>1509.2307692307693</v>
      </c>
      <c r="AN59" s="22">
        <f t="shared" si="195"/>
        <v>914.68531468531478</v>
      </c>
      <c r="AO59" s="22">
        <f t="shared" si="196"/>
        <v>565.96153846153845</v>
      </c>
      <c r="AP59" s="22">
        <f t="shared" si="197"/>
        <v>1131.9230769230769</v>
      </c>
      <c r="AQ59" s="22">
        <f t="shared" si="198"/>
        <v>565.96153846153845</v>
      </c>
      <c r="AR59" s="22">
        <f t="shared" si="198"/>
        <v>565.96153846153845</v>
      </c>
      <c r="AS59" s="23">
        <f t="shared" si="199"/>
        <v>1006.1538461538462</v>
      </c>
      <c r="AT59" s="15">
        <f t="shared" si="182"/>
        <v>2</v>
      </c>
      <c r="AU59" s="16">
        <f t="shared" si="200"/>
        <v>3</v>
      </c>
      <c r="AV59" s="16">
        <f t="shared" si="201"/>
        <v>1</v>
      </c>
      <c r="AW59" s="16">
        <f t="shared" si="202"/>
        <v>4</v>
      </c>
      <c r="AX59" s="16">
        <f t="shared" si="203"/>
        <v>3</v>
      </c>
      <c r="AY59" s="16">
        <f t="shared" si="204"/>
        <v>2</v>
      </c>
      <c r="AZ59" s="16">
        <f t="shared" si="205"/>
        <v>5</v>
      </c>
      <c r="BA59" s="16">
        <f t="shared" si="206"/>
        <v>4</v>
      </c>
      <c r="BB59" s="16">
        <f t="shared" si="207"/>
        <v>0</v>
      </c>
      <c r="BC59" s="17">
        <f t="shared" si="208"/>
        <v>2</v>
      </c>
    </row>
    <row r="60" spans="1:55" x14ac:dyDescent="0.3">
      <c r="A60" s="211" t="s">
        <v>26</v>
      </c>
      <c r="B60" s="212">
        <v>19213</v>
      </c>
      <c r="C60" s="213">
        <v>18905</v>
      </c>
      <c r="D60" s="205" t="s">
        <v>99</v>
      </c>
      <c r="E60" s="49">
        <v>43861</v>
      </c>
      <c r="F60" s="54">
        <v>1200</v>
      </c>
      <c r="G60" s="48">
        <v>500</v>
      </c>
      <c r="H60" s="55">
        <v>0</v>
      </c>
      <c r="I60" s="54">
        <v>6000</v>
      </c>
      <c r="J60" s="48">
        <v>3540</v>
      </c>
      <c r="K60" s="55">
        <v>0</v>
      </c>
      <c r="L60" s="54">
        <v>4000</v>
      </c>
      <c r="M60" s="48">
        <v>1960</v>
      </c>
      <c r="N60" s="55">
        <v>0</v>
      </c>
      <c r="O60" s="54">
        <v>4000</v>
      </c>
      <c r="P60" s="48">
        <v>1848</v>
      </c>
      <c r="Q60" s="55">
        <v>0</v>
      </c>
      <c r="R60" s="54">
        <v>3400</v>
      </c>
      <c r="S60" s="48">
        <v>1468</v>
      </c>
      <c r="T60" s="55">
        <v>0</v>
      </c>
      <c r="U60" s="54">
        <v>1500</v>
      </c>
      <c r="V60" s="48">
        <v>540</v>
      </c>
      <c r="W60" s="55">
        <v>0</v>
      </c>
      <c r="X60" s="54">
        <v>3500</v>
      </c>
      <c r="Y60" s="48">
        <v>2810</v>
      </c>
      <c r="Z60" s="55">
        <v>0</v>
      </c>
      <c r="AA60" s="54">
        <v>1500</v>
      </c>
      <c r="AB60" s="48">
        <v>900</v>
      </c>
      <c r="AC60" s="55">
        <v>0</v>
      </c>
      <c r="AD60" s="54">
        <v>0</v>
      </c>
      <c r="AE60" s="48">
        <v>0</v>
      </c>
      <c r="AF60" s="55">
        <v>30</v>
      </c>
      <c r="AG60" s="54">
        <v>2500</v>
      </c>
      <c r="AH60" s="48">
        <v>1960</v>
      </c>
      <c r="AI60" s="55"/>
      <c r="AJ60" s="22">
        <f t="shared" si="192"/>
        <v>2337.1565934065934</v>
      </c>
      <c r="AK60" s="22">
        <f t="shared" si="193"/>
        <v>7271.1538461538466</v>
      </c>
      <c r="AL60" s="22">
        <f t="shared" si="194"/>
        <v>5453.3653846153848</v>
      </c>
      <c r="AM60" s="22">
        <f t="shared" si="194"/>
        <v>5453.3653846153848</v>
      </c>
      <c r="AN60" s="22">
        <f t="shared" si="195"/>
        <v>3305.0699300699303</v>
      </c>
      <c r="AO60" s="22">
        <f t="shared" si="196"/>
        <v>2045.0120192307693</v>
      </c>
      <c r="AP60" s="22">
        <f t="shared" si="197"/>
        <v>4090.0240384615386</v>
      </c>
      <c r="AQ60" s="22">
        <f t="shared" si="198"/>
        <v>2045.0120192307693</v>
      </c>
      <c r="AR60" s="22">
        <f t="shared" si="198"/>
        <v>2045.0120192307693</v>
      </c>
      <c r="AS60" s="23">
        <f t="shared" si="199"/>
        <v>3635.5769230769233</v>
      </c>
      <c r="AT60" s="15">
        <f t="shared" si="182"/>
        <v>1</v>
      </c>
      <c r="AU60" s="16">
        <f t="shared" si="200"/>
        <v>2</v>
      </c>
      <c r="AV60" s="16">
        <f t="shared" si="201"/>
        <v>2</v>
      </c>
      <c r="AW60" s="16">
        <f t="shared" si="202"/>
        <v>2</v>
      </c>
      <c r="AX60" s="16">
        <f t="shared" si="203"/>
        <v>2</v>
      </c>
      <c r="AY60" s="16">
        <f t="shared" si="204"/>
        <v>1</v>
      </c>
      <c r="AZ60" s="16">
        <f t="shared" si="205"/>
        <v>3</v>
      </c>
      <c r="BA60" s="16">
        <f t="shared" si="206"/>
        <v>2</v>
      </c>
      <c r="BB60" s="16">
        <f t="shared" si="207"/>
        <v>0</v>
      </c>
      <c r="BC60" s="17">
        <f t="shared" si="208"/>
        <v>3</v>
      </c>
    </row>
    <row r="61" spans="1:55" x14ac:dyDescent="0.3">
      <c r="A61" s="211" t="s">
        <v>27</v>
      </c>
      <c r="B61" s="212">
        <v>15098</v>
      </c>
      <c r="C61" s="213">
        <v>14856</v>
      </c>
      <c r="D61" s="205" t="s">
        <v>99</v>
      </c>
      <c r="E61" s="49">
        <v>43861</v>
      </c>
      <c r="F61" s="54">
        <v>1620</v>
      </c>
      <c r="G61" s="48">
        <v>260</v>
      </c>
      <c r="H61" s="55">
        <v>0</v>
      </c>
      <c r="I61" s="54">
        <v>3600</v>
      </c>
      <c r="J61" s="48">
        <v>2680</v>
      </c>
      <c r="K61" s="55">
        <v>0</v>
      </c>
      <c r="L61" s="54">
        <v>3000</v>
      </c>
      <c r="M61" s="48">
        <v>1950</v>
      </c>
      <c r="N61" s="55">
        <v>0</v>
      </c>
      <c r="O61" s="54">
        <v>2800</v>
      </c>
      <c r="P61" s="48">
        <v>1688</v>
      </c>
      <c r="Q61" s="55">
        <v>0</v>
      </c>
      <c r="R61" s="54">
        <v>1700</v>
      </c>
      <c r="S61" s="48">
        <v>865</v>
      </c>
      <c r="T61" s="55">
        <v>0</v>
      </c>
      <c r="U61" s="54">
        <v>1000</v>
      </c>
      <c r="V61" s="48">
        <v>470</v>
      </c>
      <c r="W61" s="55">
        <v>0</v>
      </c>
      <c r="X61" s="54">
        <v>1440</v>
      </c>
      <c r="Y61" s="48">
        <v>1530</v>
      </c>
      <c r="Z61" s="55">
        <v>0</v>
      </c>
      <c r="AA61" s="54">
        <v>1000</v>
      </c>
      <c r="AB61" s="48">
        <v>620</v>
      </c>
      <c r="AC61" s="55">
        <v>0</v>
      </c>
      <c r="AD61" s="54">
        <v>0</v>
      </c>
      <c r="AE61" s="48">
        <v>0</v>
      </c>
      <c r="AF61" s="55">
        <v>18</v>
      </c>
      <c r="AG61" s="54">
        <v>1500</v>
      </c>
      <c r="AH61" s="48">
        <v>1388</v>
      </c>
      <c r="AI61" s="55"/>
      <c r="AJ61" s="22">
        <f t="shared" si="192"/>
        <v>1836.5934065934064</v>
      </c>
      <c r="AK61" s="22">
        <f t="shared" si="193"/>
        <v>5713.8461538461534</v>
      </c>
      <c r="AL61" s="22">
        <f t="shared" si="194"/>
        <v>4285.3846153846152</v>
      </c>
      <c r="AM61" s="22">
        <f t="shared" si="194"/>
        <v>4285.3846153846152</v>
      </c>
      <c r="AN61" s="22">
        <f t="shared" si="195"/>
        <v>2597.2027972027972</v>
      </c>
      <c r="AO61" s="22">
        <f t="shared" si="196"/>
        <v>1607.0192307692307</v>
      </c>
      <c r="AP61" s="22">
        <f t="shared" si="197"/>
        <v>3214.0384615384614</v>
      </c>
      <c r="AQ61" s="22">
        <f t="shared" si="198"/>
        <v>1607.0192307692307</v>
      </c>
      <c r="AR61" s="22">
        <f t="shared" si="198"/>
        <v>1607.0192307692307</v>
      </c>
      <c r="AS61" s="23">
        <f t="shared" si="199"/>
        <v>2856.9230769230767</v>
      </c>
      <c r="AT61" s="15">
        <f t="shared" si="182"/>
        <v>1</v>
      </c>
      <c r="AU61" s="16">
        <f t="shared" si="200"/>
        <v>2</v>
      </c>
      <c r="AV61" s="16">
        <f t="shared" si="201"/>
        <v>2</v>
      </c>
      <c r="AW61" s="16">
        <f t="shared" si="202"/>
        <v>2</v>
      </c>
      <c r="AX61" s="16">
        <f t="shared" si="203"/>
        <v>2</v>
      </c>
      <c r="AY61" s="16">
        <f t="shared" si="204"/>
        <v>1</v>
      </c>
      <c r="AZ61" s="16">
        <f t="shared" si="205"/>
        <v>2</v>
      </c>
      <c r="BA61" s="16">
        <f t="shared" si="206"/>
        <v>2</v>
      </c>
      <c r="BB61" s="16">
        <f t="shared" si="207"/>
        <v>0</v>
      </c>
      <c r="BC61" s="17">
        <f t="shared" si="208"/>
        <v>2</v>
      </c>
    </row>
    <row r="62" spans="1:55" x14ac:dyDescent="0.3">
      <c r="A62" s="211" t="s">
        <v>28</v>
      </c>
      <c r="B62" s="212">
        <v>29152</v>
      </c>
      <c r="C62" s="213">
        <v>28685</v>
      </c>
      <c r="D62" s="205" t="s">
        <v>99</v>
      </c>
      <c r="E62" s="49">
        <v>43861</v>
      </c>
      <c r="F62" s="54">
        <v>3160</v>
      </c>
      <c r="G62" s="58">
        <v>800</v>
      </c>
      <c r="H62" s="55">
        <v>0</v>
      </c>
      <c r="I62" s="60">
        <v>6320</v>
      </c>
      <c r="J62" s="58">
        <v>4160</v>
      </c>
      <c r="K62" s="55">
        <v>0</v>
      </c>
      <c r="L62" s="60">
        <v>6480</v>
      </c>
      <c r="M62" s="58">
        <v>3320</v>
      </c>
      <c r="N62" s="55">
        <v>0</v>
      </c>
      <c r="O62" s="60">
        <v>6280</v>
      </c>
      <c r="P62" s="58">
        <v>3800</v>
      </c>
      <c r="Q62" s="55">
        <v>0</v>
      </c>
      <c r="R62" s="60">
        <v>4200</v>
      </c>
      <c r="S62" s="58">
        <v>1397</v>
      </c>
      <c r="T62" s="55">
        <v>0</v>
      </c>
      <c r="U62" s="60">
        <v>2250</v>
      </c>
      <c r="V62" s="58">
        <v>250</v>
      </c>
      <c r="W62" s="55">
        <v>0</v>
      </c>
      <c r="X62" s="60">
        <v>3800</v>
      </c>
      <c r="Y62" s="58">
        <v>5000</v>
      </c>
      <c r="Z62" s="55">
        <v>0</v>
      </c>
      <c r="AA62" s="60">
        <v>2800</v>
      </c>
      <c r="AB62" s="58">
        <v>1430</v>
      </c>
      <c r="AC62" s="55">
        <v>0</v>
      </c>
      <c r="AD62" s="54">
        <v>0</v>
      </c>
      <c r="AE62" s="58">
        <v>0</v>
      </c>
      <c r="AF62" s="59">
        <v>30</v>
      </c>
      <c r="AG62" s="60">
        <v>2650</v>
      </c>
      <c r="AH62" s="58">
        <v>2980</v>
      </c>
      <c r="AI62" s="59"/>
      <c r="AJ62" s="22">
        <f t="shared" si="192"/>
        <v>3546.2225274725279</v>
      </c>
      <c r="AK62" s="22">
        <f t="shared" si="193"/>
        <v>11032.692307692307</v>
      </c>
      <c r="AL62" s="22">
        <f t="shared" si="194"/>
        <v>8274.5192307692305</v>
      </c>
      <c r="AM62" s="22">
        <f t="shared" si="194"/>
        <v>8274.5192307692305</v>
      </c>
      <c r="AN62" s="22">
        <f t="shared" si="195"/>
        <v>5014.8601398601395</v>
      </c>
      <c r="AO62" s="22">
        <f t="shared" si="196"/>
        <v>3102.9447115384614</v>
      </c>
      <c r="AP62" s="22">
        <f t="shared" si="197"/>
        <v>6205.8894230769229</v>
      </c>
      <c r="AQ62" s="22">
        <f t="shared" si="198"/>
        <v>3102.9447115384614</v>
      </c>
      <c r="AR62" s="22">
        <f t="shared" si="198"/>
        <v>3102.9447115384614</v>
      </c>
      <c r="AS62" s="23">
        <f t="shared" si="199"/>
        <v>5516.3461538461534</v>
      </c>
      <c r="AT62" s="15">
        <f t="shared" si="182"/>
        <v>1</v>
      </c>
      <c r="AU62" s="16">
        <f t="shared" si="200"/>
        <v>2</v>
      </c>
      <c r="AV62" s="16">
        <f t="shared" si="201"/>
        <v>2</v>
      </c>
      <c r="AW62" s="16">
        <f t="shared" si="202"/>
        <v>2</v>
      </c>
      <c r="AX62" s="16">
        <f t="shared" si="203"/>
        <v>1</v>
      </c>
      <c r="AY62" s="16">
        <f t="shared" si="204"/>
        <v>0</v>
      </c>
      <c r="AZ62" s="16">
        <f t="shared" si="205"/>
        <v>4</v>
      </c>
      <c r="BA62" s="16">
        <f t="shared" si="206"/>
        <v>2</v>
      </c>
      <c r="BB62" s="16">
        <f t="shared" si="207"/>
        <v>0</v>
      </c>
      <c r="BC62" s="17">
        <f t="shared" si="208"/>
        <v>3</v>
      </c>
    </row>
    <row r="63" spans="1:55" x14ac:dyDescent="0.3">
      <c r="A63" s="211" t="s">
        <v>29</v>
      </c>
      <c r="B63" s="212">
        <v>20497</v>
      </c>
      <c r="C63" s="213">
        <v>20169</v>
      </c>
      <c r="D63" s="205" t="s">
        <v>99</v>
      </c>
      <c r="E63" s="49">
        <v>43861</v>
      </c>
      <c r="F63" s="54">
        <v>1880</v>
      </c>
      <c r="G63" s="58">
        <v>1300</v>
      </c>
      <c r="H63" s="55">
        <v>0</v>
      </c>
      <c r="I63" s="60">
        <v>3800</v>
      </c>
      <c r="J63" s="58">
        <v>2000</v>
      </c>
      <c r="K63" s="55">
        <v>0</v>
      </c>
      <c r="L63" s="60">
        <v>3800</v>
      </c>
      <c r="M63" s="58">
        <v>2150</v>
      </c>
      <c r="N63" s="55">
        <v>0</v>
      </c>
      <c r="O63" s="60">
        <v>3600</v>
      </c>
      <c r="P63" s="58">
        <v>2000</v>
      </c>
      <c r="Q63" s="55">
        <v>0</v>
      </c>
      <c r="R63" s="60">
        <v>2000</v>
      </c>
      <c r="S63" s="58">
        <v>1250</v>
      </c>
      <c r="T63" s="55">
        <v>0</v>
      </c>
      <c r="U63" s="60">
        <v>1100</v>
      </c>
      <c r="V63" s="58">
        <v>400</v>
      </c>
      <c r="W63" s="55">
        <v>0</v>
      </c>
      <c r="X63" s="60">
        <v>1800</v>
      </c>
      <c r="Y63" s="58">
        <v>2050</v>
      </c>
      <c r="Z63" s="55">
        <v>0</v>
      </c>
      <c r="AA63" s="60">
        <v>1000</v>
      </c>
      <c r="AB63" s="58">
        <v>310</v>
      </c>
      <c r="AC63" s="55">
        <v>0</v>
      </c>
      <c r="AD63" s="54">
        <v>0</v>
      </c>
      <c r="AE63" s="58">
        <v>0</v>
      </c>
      <c r="AF63" s="55">
        <v>26</v>
      </c>
      <c r="AG63" s="60">
        <v>1810</v>
      </c>
      <c r="AH63" s="58">
        <v>960</v>
      </c>
      <c r="AI63" s="59"/>
      <c r="AJ63" s="22">
        <f t="shared" si="192"/>
        <v>2493.4203296703299</v>
      </c>
      <c r="AK63" s="22">
        <f t="shared" si="193"/>
        <v>7757.3076923076942</v>
      </c>
      <c r="AL63" s="22">
        <f t="shared" si="194"/>
        <v>5817.9807692307704</v>
      </c>
      <c r="AM63" s="22">
        <f t="shared" si="194"/>
        <v>5817.9807692307704</v>
      </c>
      <c r="AN63" s="22">
        <f t="shared" si="195"/>
        <v>3526.0489510489515</v>
      </c>
      <c r="AO63" s="22">
        <f t="shared" si="196"/>
        <v>2181.7427884615386</v>
      </c>
      <c r="AP63" s="22">
        <f t="shared" si="197"/>
        <v>4363.4855769230771</v>
      </c>
      <c r="AQ63" s="22">
        <f t="shared" si="198"/>
        <v>2181.7427884615386</v>
      </c>
      <c r="AR63" s="22">
        <f t="shared" si="198"/>
        <v>2181.7427884615386</v>
      </c>
      <c r="AS63" s="23">
        <f t="shared" si="199"/>
        <v>3878.6538461538471</v>
      </c>
      <c r="AT63" s="15">
        <f t="shared" si="182"/>
        <v>3</v>
      </c>
      <c r="AU63" s="16">
        <f t="shared" si="200"/>
        <v>1</v>
      </c>
      <c r="AV63" s="16">
        <f t="shared" si="201"/>
        <v>2</v>
      </c>
      <c r="AW63" s="16">
        <f t="shared" si="202"/>
        <v>2</v>
      </c>
      <c r="AX63" s="16">
        <f t="shared" si="203"/>
        <v>2</v>
      </c>
      <c r="AY63" s="16">
        <f t="shared" si="204"/>
        <v>1</v>
      </c>
      <c r="AZ63" s="16">
        <f t="shared" si="205"/>
        <v>2</v>
      </c>
      <c r="BA63" s="16">
        <f t="shared" si="206"/>
        <v>1</v>
      </c>
      <c r="BB63" s="16">
        <f t="shared" si="207"/>
        <v>0</v>
      </c>
      <c r="BC63" s="17">
        <f t="shared" si="208"/>
        <v>1</v>
      </c>
    </row>
    <row r="64" spans="1:55" x14ac:dyDescent="0.3">
      <c r="A64" s="211" t="s">
        <v>30</v>
      </c>
      <c r="B64" s="212">
        <v>11001</v>
      </c>
      <c r="C64" s="213">
        <v>10824</v>
      </c>
      <c r="D64" s="205" t="s">
        <v>99</v>
      </c>
      <c r="E64" s="49">
        <v>43861</v>
      </c>
      <c r="F64" s="54">
        <v>1000</v>
      </c>
      <c r="G64" s="58">
        <v>1780</v>
      </c>
      <c r="H64" s="55">
        <v>0</v>
      </c>
      <c r="I64" s="60">
        <v>2500</v>
      </c>
      <c r="J64" s="58">
        <v>4080</v>
      </c>
      <c r="K64" s="55">
        <v>0</v>
      </c>
      <c r="L64" s="60">
        <v>2100</v>
      </c>
      <c r="M64" s="58">
        <v>3100</v>
      </c>
      <c r="N64" s="55">
        <v>0</v>
      </c>
      <c r="O64" s="60">
        <v>2300</v>
      </c>
      <c r="P64" s="58">
        <v>3972</v>
      </c>
      <c r="Q64" s="55">
        <v>0</v>
      </c>
      <c r="R64" s="60">
        <v>1600</v>
      </c>
      <c r="S64" s="58">
        <v>2014</v>
      </c>
      <c r="T64" s="55">
        <v>0</v>
      </c>
      <c r="U64" s="60">
        <v>800</v>
      </c>
      <c r="V64" s="58">
        <v>1080</v>
      </c>
      <c r="W64" s="55">
        <v>0</v>
      </c>
      <c r="X64" s="60">
        <v>1000</v>
      </c>
      <c r="Y64" s="58">
        <v>2490</v>
      </c>
      <c r="Z64" s="55">
        <v>0</v>
      </c>
      <c r="AA64" s="60">
        <v>500</v>
      </c>
      <c r="AB64" s="58">
        <v>1280</v>
      </c>
      <c r="AC64" s="55">
        <v>0</v>
      </c>
      <c r="AD64" s="54">
        <v>0</v>
      </c>
      <c r="AE64" s="58">
        <v>0</v>
      </c>
      <c r="AF64" s="55">
        <v>24</v>
      </c>
      <c r="AG64" s="60">
        <v>1100</v>
      </c>
      <c r="AH64" s="58">
        <v>2260</v>
      </c>
      <c r="AI64" s="59"/>
      <c r="AJ64" s="22">
        <f t="shared" si="192"/>
        <v>1338.1318681318683</v>
      </c>
      <c r="AK64" s="22">
        <f t="shared" si="193"/>
        <v>4163.0769230769229</v>
      </c>
      <c r="AL64" s="22">
        <f t="shared" si="194"/>
        <v>3122.3076923076928</v>
      </c>
      <c r="AM64" s="22">
        <f t="shared" si="194"/>
        <v>3122.3076923076928</v>
      </c>
      <c r="AN64" s="22">
        <f t="shared" si="195"/>
        <v>1892.3076923076926</v>
      </c>
      <c r="AO64" s="22">
        <f t="shared" si="196"/>
        <v>1170.8653846153848</v>
      </c>
      <c r="AP64" s="22">
        <f t="shared" si="197"/>
        <v>2341.7307692307695</v>
      </c>
      <c r="AQ64" s="22">
        <f t="shared" si="198"/>
        <v>1170.8653846153848</v>
      </c>
      <c r="AR64" s="22">
        <f t="shared" si="198"/>
        <v>1170.8653846153848</v>
      </c>
      <c r="AS64" s="23">
        <f t="shared" si="199"/>
        <v>2081.5384615384614</v>
      </c>
      <c r="AT64" s="15">
        <f t="shared" si="182"/>
        <v>7</v>
      </c>
      <c r="AU64" s="16">
        <f t="shared" si="200"/>
        <v>5</v>
      </c>
      <c r="AV64" s="16">
        <f t="shared" si="201"/>
        <v>5</v>
      </c>
      <c r="AW64" s="16">
        <f t="shared" si="202"/>
        <v>6</v>
      </c>
      <c r="AX64" s="16">
        <f t="shared" si="203"/>
        <v>5</v>
      </c>
      <c r="AY64" s="16">
        <f t="shared" si="204"/>
        <v>5</v>
      </c>
      <c r="AZ64" s="16">
        <f t="shared" si="205"/>
        <v>5</v>
      </c>
      <c r="BA64" s="16">
        <f t="shared" si="206"/>
        <v>5</v>
      </c>
      <c r="BB64" s="16">
        <f t="shared" si="207"/>
        <v>0</v>
      </c>
      <c r="BC64" s="17">
        <f t="shared" si="208"/>
        <v>5</v>
      </c>
    </row>
    <row r="65" spans="1:55" x14ac:dyDescent="0.3">
      <c r="A65" s="211" t="s">
        <v>31</v>
      </c>
      <c r="B65" s="212">
        <v>21059</v>
      </c>
      <c r="C65" s="213">
        <v>20722</v>
      </c>
      <c r="D65" s="205" t="s">
        <v>99</v>
      </c>
      <c r="E65" s="49">
        <v>43861</v>
      </c>
      <c r="F65" s="54">
        <v>1600</v>
      </c>
      <c r="G65" s="58">
        <v>1480</v>
      </c>
      <c r="H65" s="55">
        <v>0</v>
      </c>
      <c r="I65" s="60">
        <v>4860</v>
      </c>
      <c r="J65" s="58">
        <v>3320</v>
      </c>
      <c r="K65" s="55">
        <v>0</v>
      </c>
      <c r="L65" s="60">
        <v>4030</v>
      </c>
      <c r="M65" s="58">
        <v>1980</v>
      </c>
      <c r="N65" s="55">
        <v>0</v>
      </c>
      <c r="O65" s="60">
        <v>4000</v>
      </c>
      <c r="P65" s="58">
        <v>1960</v>
      </c>
      <c r="Q65" s="55">
        <v>0</v>
      </c>
      <c r="R65" s="60">
        <v>2700</v>
      </c>
      <c r="S65" s="58">
        <v>2150</v>
      </c>
      <c r="T65" s="55">
        <v>0</v>
      </c>
      <c r="U65" s="60">
        <v>610</v>
      </c>
      <c r="V65" s="58">
        <v>480</v>
      </c>
      <c r="W65" s="55">
        <v>0</v>
      </c>
      <c r="X65" s="60">
        <v>2000</v>
      </c>
      <c r="Y65" s="58">
        <v>2040</v>
      </c>
      <c r="Z65" s="55">
        <v>0</v>
      </c>
      <c r="AA65" s="60">
        <v>1410</v>
      </c>
      <c r="AB65" s="58">
        <v>770</v>
      </c>
      <c r="AC65" s="55">
        <v>0</v>
      </c>
      <c r="AD65" s="54">
        <v>0</v>
      </c>
      <c r="AE65" s="58">
        <v>0</v>
      </c>
      <c r="AF65" s="55">
        <v>26</v>
      </c>
      <c r="AG65" s="60">
        <v>1810</v>
      </c>
      <c r="AH65" s="58">
        <v>1360</v>
      </c>
      <c r="AI65" s="59"/>
      <c r="AJ65" s="22">
        <f t="shared" si="192"/>
        <v>2561.7857142857147</v>
      </c>
      <c r="AK65" s="22">
        <f t="shared" si="193"/>
        <v>7970</v>
      </c>
      <c r="AL65" s="22">
        <f t="shared" si="194"/>
        <v>5977.4999999999991</v>
      </c>
      <c r="AM65" s="22">
        <f t="shared" si="194"/>
        <v>5977.4999999999991</v>
      </c>
      <c r="AN65" s="22">
        <f t="shared" si="195"/>
        <v>3622.727272727273</v>
      </c>
      <c r="AO65" s="22">
        <f t="shared" si="196"/>
        <v>2241.5625</v>
      </c>
      <c r="AP65" s="22">
        <f t="shared" si="197"/>
        <v>4483.125</v>
      </c>
      <c r="AQ65" s="22">
        <f t="shared" si="198"/>
        <v>2241.5625</v>
      </c>
      <c r="AR65" s="22">
        <f t="shared" si="198"/>
        <v>2241.5625</v>
      </c>
      <c r="AS65" s="23">
        <f t="shared" si="199"/>
        <v>3985</v>
      </c>
      <c r="AT65" s="15">
        <f t="shared" si="182"/>
        <v>3</v>
      </c>
      <c r="AU65" s="16">
        <f t="shared" si="200"/>
        <v>2</v>
      </c>
      <c r="AV65" s="16">
        <f t="shared" si="201"/>
        <v>2</v>
      </c>
      <c r="AW65" s="16">
        <f t="shared" si="202"/>
        <v>2</v>
      </c>
      <c r="AX65" s="16">
        <f t="shared" si="203"/>
        <v>3</v>
      </c>
      <c r="AY65" s="16">
        <f t="shared" si="204"/>
        <v>1</v>
      </c>
      <c r="AZ65" s="16">
        <f t="shared" si="205"/>
        <v>2</v>
      </c>
      <c r="BA65" s="16">
        <f t="shared" si="206"/>
        <v>2</v>
      </c>
      <c r="BB65" s="16">
        <f t="shared" si="207"/>
        <v>0</v>
      </c>
      <c r="BC65" s="17">
        <f t="shared" si="208"/>
        <v>2</v>
      </c>
    </row>
    <row r="66" spans="1:55" x14ac:dyDescent="0.3">
      <c r="A66" s="211" t="s">
        <v>32</v>
      </c>
      <c r="B66" s="212">
        <v>14241</v>
      </c>
      <c r="C66" s="213">
        <v>14013</v>
      </c>
      <c r="D66" s="205" t="s">
        <v>99</v>
      </c>
      <c r="E66" s="49">
        <v>43861</v>
      </c>
      <c r="F66" s="54">
        <v>280</v>
      </c>
      <c r="G66" s="58">
        <v>1200</v>
      </c>
      <c r="H66" s="55">
        <v>0</v>
      </c>
      <c r="I66" s="60">
        <v>5600</v>
      </c>
      <c r="J66" s="58">
        <v>3880</v>
      </c>
      <c r="K66" s="55">
        <v>0</v>
      </c>
      <c r="L66" s="60">
        <v>3860</v>
      </c>
      <c r="M66" s="58">
        <v>2280</v>
      </c>
      <c r="N66" s="55">
        <v>0</v>
      </c>
      <c r="O66" s="60">
        <v>3684</v>
      </c>
      <c r="P66" s="58">
        <v>1800</v>
      </c>
      <c r="Q66" s="55">
        <v>0</v>
      </c>
      <c r="R66" s="60">
        <v>2700</v>
      </c>
      <c r="S66" s="58">
        <v>2150</v>
      </c>
      <c r="T66" s="55">
        <v>0</v>
      </c>
      <c r="U66" s="60">
        <v>230</v>
      </c>
      <c r="V66" s="58">
        <v>1500</v>
      </c>
      <c r="W66" s="55">
        <v>0</v>
      </c>
      <c r="X66" s="60">
        <v>2070</v>
      </c>
      <c r="Y66" s="58">
        <v>2300</v>
      </c>
      <c r="Z66" s="55">
        <v>0</v>
      </c>
      <c r="AA66" s="60">
        <v>280</v>
      </c>
      <c r="AB66" s="58">
        <v>1600</v>
      </c>
      <c r="AC66" s="55">
        <v>0</v>
      </c>
      <c r="AD66" s="54">
        <v>0</v>
      </c>
      <c r="AE66" s="58">
        <v>0</v>
      </c>
      <c r="AF66" s="55">
        <v>30</v>
      </c>
      <c r="AG66" s="60">
        <v>2000</v>
      </c>
      <c r="AH66" s="58">
        <v>2100</v>
      </c>
      <c r="AI66" s="59"/>
      <c r="AJ66" s="22">
        <f t="shared" si="192"/>
        <v>1732.3763736263736</v>
      </c>
      <c r="AK66" s="22">
        <f t="shared" si="193"/>
        <v>5389.6153846153857</v>
      </c>
      <c r="AL66" s="22">
        <f t="shared" si="194"/>
        <v>4042.211538461539</v>
      </c>
      <c r="AM66" s="22">
        <f t="shared" si="194"/>
        <v>4042.211538461539</v>
      </c>
      <c r="AN66" s="22">
        <f t="shared" si="195"/>
        <v>2449.8251748251751</v>
      </c>
      <c r="AO66" s="22">
        <f t="shared" si="196"/>
        <v>1515.8293269230767</v>
      </c>
      <c r="AP66" s="22">
        <f t="shared" si="197"/>
        <v>3031.6586538461534</v>
      </c>
      <c r="AQ66" s="22">
        <f t="shared" si="198"/>
        <v>1515.8293269230767</v>
      </c>
      <c r="AR66" s="22">
        <f t="shared" si="198"/>
        <v>1515.8293269230767</v>
      </c>
      <c r="AS66" s="23">
        <f t="shared" si="199"/>
        <v>2694.8076923076928</v>
      </c>
      <c r="AT66" s="15">
        <f t="shared" si="182"/>
        <v>3</v>
      </c>
      <c r="AU66" s="16">
        <f t="shared" si="200"/>
        <v>4</v>
      </c>
      <c r="AV66" s="16">
        <f t="shared" si="201"/>
        <v>3</v>
      </c>
      <c r="AW66" s="16">
        <f t="shared" si="202"/>
        <v>2</v>
      </c>
      <c r="AX66" s="16">
        <f t="shared" si="203"/>
        <v>4</v>
      </c>
      <c r="AY66" s="16">
        <f t="shared" si="204"/>
        <v>5</v>
      </c>
      <c r="AZ66" s="16">
        <f t="shared" si="205"/>
        <v>4</v>
      </c>
      <c r="BA66" s="16">
        <f t="shared" si="206"/>
        <v>5</v>
      </c>
      <c r="BB66" s="16">
        <f t="shared" si="207"/>
        <v>0</v>
      </c>
      <c r="BC66" s="17">
        <f t="shared" si="208"/>
        <v>4</v>
      </c>
    </row>
    <row r="67" spans="1:55" ht="15" thickBot="1" x14ac:dyDescent="0.35">
      <c r="A67" s="211" t="s">
        <v>33</v>
      </c>
      <c r="B67" s="212">
        <v>11439</v>
      </c>
      <c r="C67" s="213">
        <v>11255</v>
      </c>
      <c r="D67" s="205" t="s">
        <v>99</v>
      </c>
      <c r="E67" s="49">
        <v>43861</v>
      </c>
      <c r="F67" s="86">
        <v>1380</v>
      </c>
      <c r="G67" s="87">
        <v>320</v>
      </c>
      <c r="H67" s="55">
        <v>0</v>
      </c>
      <c r="I67" s="88">
        <v>2640</v>
      </c>
      <c r="J67" s="87">
        <v>1420</v>
      </c>
      <c r="K67" s="55">
        <v>0</v>
      </c>
      <c r="L67" s="88">
        <v>2460</v>
      </c>
      <c r="M67" s="87">
        <v>1010</v>
      </c>
      <c r="N67" s="55">
        <v>0</v>
      </c>
      <c r="O67" s="88">
        <v>2400</v>
      </c>
      <c r="P67" s="87">
        <v>1288</v>
      </c>
      <c r="Q67" s="55">
        <v>0</v>
      </c>
      <c r="R67" s="88">
        <v>400</v>
      </c>
      <c r="S67" s="87">
        <v>700</v>
      </c>
      <c r="T67" s="55">
        <v>0</v>
      </c>
      <c r="U67" s="88">
        <v>620</v>
      </c>
      <c r="V67" s="87">
        <v>290</v>
      </c>
      <c r="W67" s="55">
        <v>0</v>
      </c>
      <c r="X67" s="88">
        <v>1420</v>
      </c>
      <c r="Y67" s="87">
        <v>1630</v>
      </c>
      <c r="Z67" s="55">
        <v>0</v>
      </c>
      <c r="AA67" s="88">
        <v>660</v>
      </c>
      <c r="AB67" s="87">
        <v>500</v>
      </c>
      <c r="AC67" s="55">
        <v>0</v>
      </c>
      <c r="AD67" s="54">
        <v>0</v>
      </c>
      <c r="AE67" s="87">
        <v>0</v>
      </c>
      <c r="AF67" s="55">
        <v>30</v>
      </c>
      <c r="AG67" s="88">
        <v>1120</v>
      </c>
      <c r="AH67" s="87">
        <v>870</v>
      </c>
      <c r="AI67" s="89"/>
      <c r="AJ67" s="22">
        <f t="shared" si="192"/>
        <v>1391.4148351648353</v>
      </c>
      <c r="AK67" s="22">
        <f t="shared" si="193"/>
        <v>4328.8461538461534</v>
      </c>
      <c r="AL67" s="22">
        <f t="shared" si="194"/>
        <v>3246.6346153846152</v>
      </c>
      <c r="AM67" s="22">
        <f t="shared" si="194"/>
        <v>3246.6346153846152</v>
      </c>
      <c r="AN67" s="22">
        <f t="shared" si="195"/>
        <v>1967.6573426573427</v>
      </c>
      <c r="AO67" s="22">
        <f t="shared" si="196"/>
        <v>1217.4879807692307</v>
      </c>
      <c r="AP67" s="22">
        <f t="shared" si="197"/>
        <v>2434.9759615384614</v>
      </c>
      <c r="AQ67" s="22">
        <f t="shared" si="198"/>
        <v>1217.4879807692307</v>
      </c>
      <c r="AR67" s="22">
        <f t="shared" si="198"/>
        <v>1217.4879807692307</v>
      </c>
      <c r="AS67" s="23">
        <f t="shared" si="199"/>
        <v>2164.4230769230767</v>
      </c>
      <c r="AT67" s="31">
        <f t="shared" si="182"/>
        <v>1</v>
      </c>
      <c r="AU67" s="32">
        <f t="shared" ref="AU67" si="209">ROUND(J67/(AK67/5),0)</f>
        <v>2</v>
      </c>
      <c r="AV67" s="32">
        <f t="shared" ref="AV67" si="210">ROUND(M67/(AL67/5),0)</f>
        <v>2</v>
      </c>
      <c r="AW67" s="32">
        <f t="shared" ref="AW67" si="211">ROUND(P67/(AM67/5),0)</f>
        <v>2</v>
      </c>
      <c r="AX67" s="32">
        <f t="shared" ref="AX67" si="212">ROUND(S67/(AN67/5),0)</f>
        <v>2</v>
      </c>
      <c r="AY67" s="32">
        <f t="shared" ref="AY67" si="213">ROUND(V67/(AO67/5),0)</f>
        <v>1</v>
      </c>
      <c r="AZ67" s="32">
        <f t="shared" ref="AZ67" si="214">ROUND(Y67/(AP67/5),0)</f>
        <v>3</v>
      </c>
      <c r="BA67" s="32">
        <f t="shared" ref="BA67" si="215">ROUND(AB67/(AQ67/5),0)</f>
        <v>2</v>
      </c>
      <c r="BB67" s="32">
        <f t="shared" ref="BB67" si="216">ROUND(AE67/(AR67/5),0)</f>
        <v>0</v>
      </c>
      <c r="BC67" s="33">
        <f t="shared" ref="BC67" si="217">ROUND(AH67/(AS67/5),0)</f>
        <v>2</v>
      </c>
    </row>
    <row r="68" spans="1:55" x14ac:dyDescent="0.3">
      <c r="A68" s="208" t="s">
        <v>86</v>
      </c>
      <c r="B68" s="215">
        <v>237360</v>
      </c>
      <c r="C68" s="210">
        <v>235159</v>
      </c>
      <c r="D68" s="205" t="s">
        <v>99</v>
      </c>
      <c r="E68" s="49">
        <v>43861</v>
      </c>
      <c r="F68" s="71"/>
      <c r="G68" s="58">
        <v>23020</v>
      </c>
      <c r="H68" s="59"/>
      <c r="I68" s="60"/>
      <c r="J68" s="58">
        <v>126460</v>
      </c>
      <c r="K68" s="61"/>
      <c r="L68" s="60"/>
      <c r="M68" s="58">
        <v>92520</v>
      </c>
      <c r="N68" s="59"/>
      <c r="O68" s="60"/>
      <c r="P68" s="58">
        <v>86744</v>
      </c>
      <c r="Q68" s="59"/>
      <c r="R68" s="60"/>
      <c r="S68" s="58">
        <v>62016</v>
      </c>
      <c r="T68" s="59"/>
      <c r="U68" s="60"/>
      <c r="V68" s="58">
        <v>30730</v>
      </c>
      <c r="W68" s="59"/>
      <c r="X68" s="60"/>
      <c r="Y68" s="58">
        <v>89470</v>
      </c>
      <c r="Z68" s="59"/>
      <c r="AA68" s="60"/>
      <c r="AB68" s="58">
        <v>27550</v>
      </c>
      <c r="AC68" s="59"/>
      <c r="AD68" s="60"/>
      <c r="AE68" s="58">
        <v>0</v>
      </c>
      <c r="AF68" s="59"/>
      <c r="AG68" s="60"/>
      <c r="AH68" s="58">
        <v>30980</v>
      </c>
      <c r="AI68" s="59"/>
      <c r="AJ68" s="21">
        <f>((B68*0.9*1.43)/52)*15</f>
        <v>88119.9</v>
      </c>
      <c r="AK68" s="21">
        <f>((C68*0.9*4*1.25)/52)*15</f>
        <v>305254.47115384619</v>
      </c>
      <c r="AL68" s="21">
        <f>((C68*0.9*3*1.11)/52)*15</f>
        <v>203299.47778846158</v>
      </c>
      <c r="AM68" s="21">
        <f>((C68*0.9*3*1.11)/52)*15</f>
        <v>203299.47778846158</v>
      </c>
      <c r="AN68" s="21">
        <f>((C68*0.9*2*1.05)/52)*15</f>
        <v>128206.87788461539</v>
      </c>
      <c r="AO68" s="21">
        <f>((C68*0.9*1*1.25)/52)*15</f>
        <v>76313.617788461546</v>
      </c>
      <c r="AP68" s="21">
        <f>((C68*0.9*2*1.25)/52)*15</f>
        <v>152627.23557692309</v>
      </c>
      <c r="AQ68" s="21">
        <f>((C68*0.9*1*1.25)/52)*15</f>
        <v>76313.617788461546</v>
      </c>
      <c r="AR68" s="21">
        <f>((C68*0.9*1*1.25)/52)*15</f>
        <v>76313.617788461546</v>
      </c>
      <c r="AS68" s="21">
        <f>((B68*0.9*2*1.11)/52)*15</f>
        <v>136801.52307692307</v>
      </c>
      <c r="AT68" s="15">
        <f>ROUND(G68/(AJ68/15),0)</f>
        <v>4</v>
      </c>
      <c r="AU68" s="16">
        <f t="shared" ref="AU68" si="218">ROUND(J68/(AK68/15),0)</f>
        <v>6</v>
      </c>
      <c r="AV68" s="16">
        <f t="shared" ref="AV68" si="219">ROUND(M68/(AL68/15),0)</f>
        <v>7</v>
      </c>
      <c r="AW68" s="16">
        <f t="shared" ref="AW68" si="220">ROUND(P68/(AM68/15),0)</f>
        <v>6</v>
      </c>
      <c r="AX68" s="16">
        <f t="shared" ref="AX68" si="221">ROUND(S68/(AN68/15),0)</f>
        <v>7</v>
      </c>
      <c r="AY68" s="16">
        <f t="shared" ref="AY68" si="222">ROUND(V68/(AO68/15),0)</f>
        <v>6</v>
      </c>
      <c r="AZ68" s="16">
        <f t="shared" ref="AZ68" si="223">ROUND(Y68/(AP68/15),0)</f>
        <v>9</v>
      </c>
      <c r="BA68" s="16">
        <f t="shared" ref="BA68" si="224">ROUND(AB68/(AQ68/15),0)</f>
        <v>5</v>
      </c>
      <c r="BB68" s="16">
        <f t="shared" ref="BB68" si="225">ROUND(AE68/(AR68/15),0)</f>
        <v>0</v>
      </c>
      <c r="BC68" s="17">
        <f t="shared" ref="BC68" si="226">ROUND(AH68/(AS68/15),0)</f>
        <v>3</v>
      </c>
    </row>
    <row r="69" spans="1:55" x14ac:dyDescent="0.3">
      <c r="A69" s="211" t="s">
        <v>63</v>
      </c>
      <c r="B69" s="212">
        <v>6468</v>
      </c>
      <c r="C69" s="213">
        <v>6408</v>
      </c>
      <c r="D69" s="205" t="s">
        <v>99</v>
      </c>
      <c r="E69" s="49">
        <v>43861</v>
      </c>
      <c r="F69" s="312">
        <v>860</v>
      </c>
      <c r="G69" s="48">
        <v>120</v>
      </c>
      <c r="H69" s="55"/>
      <c r="I69" s="54"/>
      <c r="J69" s="48">
        <v>3220</v>
      </c>
      <c r="K69" s="53"/>
      <c r="L69" s="54"/>
      <c r="M69" s="48">
        <v>1260</v>
      </c>
      <c r="N69" s="55"/>
      <c r="O69" s="54"/>
      <c r="P69" s="48">
        <v>724</v>
      </c>
      <c r="Q69" s="55"/>
      <c r="R69" s="54"/>
      <c r="S69" s="48">
        <v>589</v>
      </c>
      <c r="T69" s="55"/>
      <c r="U69" s="54"/>
      <c r="V69" s="48">
        <v>220</v>
      </c>
      <c r="W69" s="55"/>
      <c r="X69" s="54"/>
      <c r="Y69" s="48">
        <v>1600</v>
      </c>
      <c r="Z69" s="55"/>
      <c r="AA69" s="54"/>
      <c r="AB69" s="48">
        <v>180</v>
      </c>
      <c r="AC69" s="55"/>
      <c r="AD69" s="54"/>
      <c r="AE69" s="48">
        <v>0</v>
      </c>
      <c r="AF69" s="55"/>
      <c r="AG69" s="54"/>
      <c r="AH69" s="48">
        <v>690</v>
      </c>
      <c r="AI69" s="55"/>
      <c r="AJ69" s="22">
        <f>(($C69*AJ$5*1*(1/(1-0.3)))/52)*5</f>
        <v>792.19780219780216</v>
      </c>
      <c r="AK69" s="22">
        <f>(($C69*AK$5*4*(1/(1-0.1)))/52)*5</f>
        <v>2464.6153846153848</v>
      </c>
      <c r="AL69" s="22">
        <f>(($C69*AL$5*3*(1/(1-0.1)))/52)*5</f>
        <v>1848.4615384615383</v>
      </c>
      <c r="AM69" s="22">
        <f>(($C69*AM$5*3*(1/(1-0.1)))/52)*5</f>
        <v>1848.4615384615383</v>
      </c>
      <c r="AN69" s="22">
        <f>(($C69*AN$5*2*(1/(1-0.01)))/52)*5</f>
        <v>1120.2797202797203</v>
      </c>
      <c r="AO69" s="22">
        <f>(($C69*AO$5*1*(1/(1-0.2)))/52)*5</f>
        <v>693.17307692307691</v>
      </c>
      <c r="AP69" s="22">
        <f>(($C69*AP$5*2*(1/(1-0.2)))/52)*5</f>
        <v>1386.3461538461538</v>
      </c>
      <c r="AQ69" s="22">
        <f>(($C69*AQ$5*1*(1/(1-0.2)))/52)*5</f>
        <v>693.17307692307691</v>
      </c>
      <c r="AR69" s="22">
        <f>(($C69*AR$5*1*(1/(1-0.2)))/52)*5</f>
        <v>693.17307692307691</v>
      </c>
      <c r="AS69" s="23">
        <f>(($C69*AS$5*2*(1/(1-0.1)))/52)*5</f>
        <v>1232.3076923076924</v>
      </c>
      <c r="AT69" s="15">
        <f t="shared" ref="AT69:AT79" si="227">ROUND(G69/(AJ69/5),0)</f>
        <v>1</v>
      </c>
      <c r="AU69" s="16">
        <f t="shared" ref="AU69" si="228">ROUND(J69/(AK69/5),0)</f>
        <v>7</v>
      </c>
      <c r="AV69" s="16">
        <f t="shared" ref="AV69" si="229">ROUND(M69/(AL69/5),0)</f>
        <v>3</v>
      </c>
      <c r="AW69" s="16">
        <f t="shared" ref="AW69" si="230">ROUND(P69/(AM69/5),0)</f>
        <v>2</v>
      </c>
      <c r="AX69" s="16">
        <f t="shared" ref="AX69" si="231">ROUND(S69/(AN69/5),0)</f>
        <v>3</v>
      </c>
      <c r="AY69" s="16">
        <f t="shared" ref="AY69" si="232">ROUND(V69/(AO69/5),0)</f>
        <v>2</v>
      </c>
      <c r="AZ69" s="16">
        <f t="shared" ref="AZ69" si="233">ROUND(Y69/(AP69/5),0)</f>
        <v>6</v>
      </c>
      <c r="BA69" s="16">
        <f t="shared" ref="BA69" si="234">ROUND(AB69/(AQ69/5),0)</f>
        <v>1</v>
      </c>
      <c r="BB69" s="16">
        <f t="shared" ref="BB69" si="235">ROUND(AE69/(AR69/5),0)</f>
        <v>0</v>
      </c>
      <c r="BC69" s="17">
        <f t="shared" ref="BC69" si="236">ROUND(AH69/(AS69/5),0)</f>
        <v>3</v>
      </c>
    </row>
    <row r="70" spans="1:55" x14ac:dyDescent="0.3">
      <c r="A70" s="211" t="s">
        <v>64</v>
      </c>
      <c r="B70" s="212">
        <v>16172</v>
      </c>
      <c r="C70" s="213">
        <v>16022</v>
      </c>
      <c r="D70" s="205" t="s">
        <v>99</v>
      </c>
      <c r="E70" s="49">
        <v>43861</v>
      </c>
      <c r="F70" s="312">
        <v>1480</v>
      </c>
      <c r="G70" s="48">
        <v>400</v>
      </c>
      <c r="H70" s="55"/>
      <c r="I70" s="54"/>
      <c r="J70" s="48">
        <v>2220</v>
      </c>
      <c r="K70" s="53"/>
      <c r="L70" s="54"/>
      <c r="M70" s="48">
        <v>1700</v>
      </c>
      <c r="N70" s="55"/>
      <c r="O70" s="54"/>
      <c r="P70" s="48">
        <v>640</v>
      </c>
      <c r="Q70" s="55"/>
      <c r="R70" s="54"/>
      <c r="S70" s="48">
        <v>850</v>
      </c>
      <c r="T70" s="55"/>
      <c r="U70" s="54"/>
      <c r="V70" s="48">
        <v>290</v>
      </c>
      <c r="W70" s="55"/>
      <c r="X70" s="54"/>
      <c r="Y70" s="48">
        <v>1730</v>
      </c>
      <c r="Z70" s="55"/>
      <c r="AA70" s="54"/>
      <c r="AB70" s="48">
        <v>620</v>
      </c>
      <c r="AC70" s="55"/>
      <c r="AD70" s="54"/>
      <c r="AE70" s="48">
        <v>0</v>
      </c>
      <c r="AF70" s="55"/>
      <c r="AG70" s="54"/>
      <c r="AH70" s="48">
        <v>1000</v>
      </c>
      <c r="AI70" s="55"/>
      <c r="AJ70" s="22">
        <f t="shared" ref="AJ70:AJ79" si="237">(($C70*AJ$5*1*(1/(1-0.3)))/52)*5</f>
        <v>1980.7417582417584</v>
      </c>
      <c r="AK70" s="22">
        <f t="shared" ref="AK70:AK79" si="238">(($C70*AK$5*4*(1/(1-0.1)))/52)*5</f>
        <v>6162.3076923076933</v>
      </c>
      <c r="AL70" s="22">
        <f t="shared" ref="AL70:AM79" si="239">(($C70*AL$5*3*(1/(1-0.1)))/52)*5</f>
        <v>4621.7307692307704</v>
      </c>
      <c r="AM70" s="22">
        <f t="shared" si="239"/>
        <v>4621.7307692307704</v>
      </c>
      <c r="AN70" s="22">
        <f t="shared" ref="AN70:AN79" si="240">(($C70*AN$5*2*(1/(1-0.01)))/52)*5</f>
        <v>2801.0489510489515</v>
      </c>
      <c r="AO70" s="22">
        <f t="shared" ref="AO70:AO79" si="241">(($C70*AO$5*1*(1/(1-0.2)))/52)*5</f>
        <v>1733.1490384615383</v>
      </c>
      <c r="AP70" s="22">
        <f t="shared" ref="AP70:AP79" si="242">(($C70*AP$5*2*(1/(1-0.2)))/52)*5</f>
        <v>3466.2980769230767</v>
      </c>
      <c r="AQ70" s="22">
        <f t="shared" ref="AQ70:AR79" si="243">(($C70*AQ$5*1*(1/(1-0.2)))/52)*5</f>
        <v>1733.1490384615383</v>
      </c>
      <c r="AR70" s="22">
        <f t="shared" si="243"/>
        <v>1733.1490384615383</v>
      </c>
      <c r="AS70" s="23">
        <f t="shared" ref="AS70:AS79" si="244">(($C70*AS$5*2*(1/(1-0.1)))/52)*5</f>
        <v>3081.1538461538466</v>
      </c>
      <c r="AT70" s="15">
        <f t="shared" si="227"/>
        <v>1</v>
      </c>
      <c r="AU70" s="16">
        <f t="shared" ref="AU70:AU79" si="245">ROUND(J70/(AK70/5),0)</f>
        <v>2</v>
      </c>
      <c r="AV70" s="16">
        <f t="shared" ref="AV70:AV79" si="246">ROUND(M70/(AL70/5),0)</f>
        <v>2</v>
      </c>
      <c r="AW70" s="16">
        <f t="shared" ref="AW70:AW79" si="247">ROUND(P70/(AM70/5),0)</f>
        <v>1</v>
      </c>
      <c r="AX70" s="16">
        <f t="shared" ref="AX70:AX79" si="248">ROUND(S70/(AN70/5),0)</f>
        <v>2</v>
      </c>
      <c r="AY70" s="16">
        <f t="shared" ref="AY70:AY79" si="249">ROUND(V70/(AO70/5),0)</f>
        <v>1</v>
      </c>
      <c r="AZ70" s="16">
        <f t="shared" ref="AZ70:AZ79" si="250">ROUND(Y70/(AP70/5),0)</f>
        <v>2</v>
      </c>
      <c r="BA70" s="16">
        <f t="shared" ref="BA70:BA79" si="251">ROUND(AB70/(AQ70/5),0)</f>
        <v>2</v>
      </c>
      <c r="BB70" s="16">
        <f t="shared" ref="BB70:BB79" si="252">ROUND(AE70/(AR70/5),0)</f>
        <v>0</v>
      </c>
      <c r="BC70" s="17">
        <f t="shared" ref="BC70:BC79" si="253">ROUND(AH70/(AS70/5),0)</f>
        <v>2</v>
      </c>
    </row>
    <row r="71" spans="1:55" x14ac:dyDescent="0.3">
      <c r="A71" s="211" t="s">
        <v>65</v>
      </c>
      <c r="B71" s="212">
        <v>23731</v>
      </c>
      <c r="C71" s="213">
        <v>23510</v>
      </c>
      <c r="D71" s="205" t="s">
        <v>99</v>
      </c>
      <c r="E71" s="49">
        <v>43861</v>
      </c>
      <c r="F71" s="312">
        <v>1780</v>
      </c>
      <c r="G71" s="48">
        <v>520</v>
      </c>
      <c r="H71" s="55"/>
      <c r="I71" s="54"/>
      <c r="J71" s="48">
        <v>2480</v>
      </c>
      <c r="K71" s="53"/>
      <c r="L71" s="54"/>
      <c r="M71" s="48">
        <v>890</v>
      </c>
      <c r="N71" s="55"/>
      <c r="O71" s="54"/>
      <c r="P71" s="48">
        <v>860</v>
      </c>
      <c r="Q71" s="55"/>
      <c r="R71" s="54"/>
      <c r="S71" s="48">
        <v>1114</v>
      </c>
      <c r="T71" s="55"/>
      <c r="U71" s="54"/>
      <c r="V71" s="48">
        <v>270</v>
      </c>
      <c r="W71" s="55"/>
      <c r="X71" s="54"/>
      <c r="Y71" s="48">
        <v>1220</v>
      </c>
      <c r="Z71" s="55"/>
      <c r="AA71" s="54"/>
      <c r="AB71" s="48">
        <v>640</v>
      </c>
      <c r="AC71" s="55"/>
      <c r="AD71" s="54"/>
      <c r="AE71" s="48">
        <v>0</v>
      </c>
      <c r="AF71" s="55"/>
      <c r="AG71" s="54"/>
      <c r="AH71" s="48">
        <v>2320</v>
      </c>
      <c r="AI71" s="55"/>
      <c r="AJ71" s="22">
        <f t="shared" si="237"/>
        <v>2906.4560439560446</v>
      </c>
      <c r="AK71" s="22">
        <f t="shared" si="238"/>
        <v>9042.3076923076933</v>
      </c>
      <c r="AL71" s="22">
        <f t="shared" si="239"/>
        <v>6781.7307692307695</v>
      </c>
      <c r="AM71" s="22">
        <f t="shared" si="239"/>
        <v>6781.7307692307695</v>
      </c>
      <c r="AN71" s="22">
        <f t="shared" si="240"/>
        <v>4110.1398601398605</v>
      </c>
      <c r="AO71" s="22">
        <f t="shared" si="241"/>
        <v>2543.1490384615386</v>
      </c>
      <c r="AP71" s="22">
        <f t="shared" si="242"/>
        <v>5086.2980769230771</v>
      </c>
      <c r="AQ71" s="22">
        <f t="shared" si="243"/>
        <v>2543.1490384615386</v>
      </c>
      <c r="AR71" s="22">
        <f t="shared" si="243"/>
        <v>2543.1490384615386</v>
      </c>
      <c r="AS71" s="23">
        <f t="shared" si="244"/>
        <v>4521.1538461538466</v>
      </c>
      <c r="AT71" s="15">
        <f t="shared" si="227"/>
        <v>1</v>
      </c>
      <c r="AU71" s="16">
        <f t="shared" si="245"/>
        <v>1</v>
      </c>
      <c r="AV71" s="16">
        <f t="shared" si="246"/>
        <v>1</v>
      </c>
      <c r="AW71" s="16">
        <f t="shared" si="247"/>
        <v>1</v>
      </c>
      <c r="AX71" s="16">
        <f t="shared" si="248"/>
        <v>1</v>
      </c>
      <c r="AY71" s="16">
        <f t="shared" si="249"/>
        <v>1</v>
      </c>
      <c r="AZ71" s="16">
        <f t="shared" si="250"/>
        <v>1</v>
      </c>
      <c r="BA71" s="16">
        <f t="shared" si="251"/>
        <v>1</v>
      </c>
      <c r="BB71" s="16">
        <f t="shared" si="252"/>
        <v>0</v>
      </c>
      <c r="BC71" s="17">
        <f t="shared" si="253"/>
        <v>3</v>
      </c>
    </row>
    <row r="72" spans="1:55" s="24" customFormat="1" x14ac:dyDescent="0.3">
      <c r="A72" s="219" t="s">
        <v>66</v>
      </c>
      <c r="B72" s="220">
        <v>21982</v>
      </c>
      <c r="C72" s="221">
        <v>21778</v>
      </c>
      <c r="D72" s="205" t="s">
        <v>99</v>
      </c>
      <c r="E72" s="49">
        <v>43861</v>
      </c>
      <c r="F72" s="312">
        <v>0</v>
      </c>
      <c r="G72" s="48">
        <v>2100</v>
      </c>
      <c r="H72" s="55"/>
      <c r="I72" s="54"/>
      <c r="J72" s="48">
        <v>3520</v>
      </c>
      <c r="K72" s="53"/>
      <c r="L72" s="54"/>
      <c r="M72" s="48">
        <v>1340</v>
      </c>
      <c r="N72" s="55"/>
      <c r="O72" s="54"/>
      <c r="P72" s="48">
        <v>1656</v>
      </c>
      <c r="Q72" s="55"/>
      <c r="R72" s="54"/>
      <c r="S72" s="48">
        <v>1052</v>
      </c>
      <c r="T72" s="55"/>
      <c r="U72" s="54"/>
      <c r="V72" s="48">
        <v>370</v>
      </c>
      <c r="W72" s="55"/>
      <c r="X72" s="54"/>
      <c r="Y72" s="48">
        <v>2370</v>
      </c>
      <c r="Z72" s="55"/>
      <c r="AA72" s="54"/>
      <c r="AB72" s="48">
        <v>1100</v>
      </c>
      <c r="AC72" s="55"/>
      <c r="AD72" s="54"/>
      <c r="AE72" s="48">
        <v>0</v>
      </c>
      <c r="AF72" s="55"/>
      <c r="AG72" s="54"/>
      <c r="AH72" s="48">
        <v>1390</v>
      </c>
      <c r="AI72" s="55"/>
      <c r="AJ72" s="22">
        <f t="shared" si="237"/>
        <v>2692.335164835165</v>
      </c>
      <c r="AK72" s="22">
        <f t="shared" si="238"/>
        <v>8376.1538461538457</v>
      </c>
      <c r="AL72" s="22">
        <f t="shared" si="239"/>
        <v>6282.1153846153857</v>
      </c>
      <c r="AM72" s="22">
        <f t="shared" si="239"/>
        <v>6282.1153846153857</v>
      </c>
      <c r="AN72" s="22">
        <f t="shared" si="240"/>
        <v>3807.3426573426577</v>
      </c>
      <c r="AO72" s="22">
        <f t="shared" si="241"/>
        <v>2355.7932692307695</v>
      </c>
      <c r="AP72" s="22">
        <f t="shared" si="242"/>
        <v>4711.586538461539</v>
      </c>
      <c r="AQ72" s="22">
        <f t="shared" si="243"/>
        <v>2355.7932692307695</v>
      </c>
      <c r="AR72" s="22">
        <f t="shared" si="243"/>
        <v>2355.7932692307695</v>
      </c>
      <c r="AS72" s="23">
        <f t="shared" si="244"/>
        <v>4188.0769230769229</v>
      </c>
      <c r="AT72" s="15">
        <f t="shared" si="227"/>
        <v>4</v>
      </c>
      <c r="AU72" s="16">
        <f t="shared" si="245"/>
        <v>2</v>
      </c>
      <c r="AV72" s="16">
        <f t="shared" si="246"/>
        <v>1</v>
      </c>
      <c r="AW72" s="16">
        <f t="shared" si="247"/>
        <v>1</v>
      </c>
      <c r="AX72" s="16">
        <f t="shared" si="248"/>
        <v>1</v>
      </c>
      <c r="AY72" s="16">
        <f t="shared" si="249"/>
        <v>1</v>
      </c>
      <c r="AZ72" s="16">
        <f t="shared" si="250"/>
        <v>3</v>
      </c>
      <c r="BA72" s="16">
        <f t="shared" si="251"/>
        <v>2</v>
      </c>
      <c r="BB72" s="16">
        <f t="shared" si="252"/>
        <v>0</v>
      </c>
      <c r="BC72" s="17">
        <f t="shared" si="253"/>
        <v>2</v>
      </c>
    </row>
    <row r="73" spans="1:55" s="24" customFormat="1" x14ac:dyDescent="0.3">
      <c r="A73" s="219" t="s">
        <v>67</v>
      </c>
      <c r="B73" s="220">
        <v>38741</v>
      </c>
      <c r="C73" s="221">
        <v>38381</v>
      </c>
      <c r="D73" s="205" t="s">
        <v>99</v>
      </c>
      <c r="E73" s="49">
        <v>43861</v>
      </c>
      <c r="F73" s="312">
        <v>3860</v>
      </c>
      <c r="G73" s="48">
        <v>1200</v>
      </c>
      <c r="H73" s="55"/>
      <c r="I73" s="54"/>
      <c r="J73" s="48">
        <v>4080</v>
      </c>
      <c r="K73" s="53"/>
      <c r="L73" s="54"/>
      <c r="M73" s="48">
        <v>1940</v>
      </c>
      <c r="N73" s="55"/>
      <c r="O73" s="54"/>
      <c r="P73" s="48">
        <v>1832</v>
      </c>
      <c r="Q73" s="55"/>
      <c r="R73" s="54"/>
      <c r="S73" s="48">
        <v>1089</v>
      </c>
      <c r="T73" s="55"/>
      <c r="U73" s="54"/>
      <c r="V73" s="48">
        <v>630</v>
      </c>
      <c r="W73" s="55"/>
      <c r="X73" s="54"/>
      <c r="Y73" s="48">
        <v>3060</v>
      </c>
      <c r="Z73" s="55"/>
      <c r="AA73" s="54"/>
      <c r="AB73" s="48">
        <v>1140</v>
      </c>
      <c r="AC73" s="55"/>
      <c r="AD73" s="54"/>
      <c r="AE73" s="48">
        <v>0</v>
      </c>
      <c r="AF73" s="55"/>
      <c r="AG73" s="54"/>
      <c r="AH73" s="48">
        <v>500</v>
      </c>
      <c r="AI73" s="55"/>
      <c r="AJ73" s="22">
        <f t="shared" si="237"/>
        <v>4744.9038461538466</v>
      </c>
      <c r="AK73" s="22">
        <f t="shared" si="238"/>
        <v>14761.923076923076</v>
      </c>
      <c r="AL73" s="22">
        <f t="shared" si="239"/>
        <v>11071.442307692309</v>
      </c>
      <c r="AM73" s="22">
        <f t="shared" si="239"/>
        <v>11071.442307692309</v>
      </c>
      <c r="AN73" s="22">
        <f t="shared" si="240"/>
        <v>6709.9650349650356</v>
      </c>
      <c r="AO73" s="22">
        <f t="shared" si="241"/>
        <v>4151.7908653846152</v>
      </c>
      <c r="AP73" s="22">
        <f t="shared" si="242"/>
        <v>8303.5817307692305</v>
      </c>
      <c r="AQ73" s="22">
        <f t="shared" si="243"/>
        <v>4151.7908653846152</v>
      </c>
      <c r="AR73" s="22">
        <f t="shared" si="243"/>
        <v>4151.7908653846152</v>
      </c>
      <c r="AS73" s="23">
        <f t="shared" si="244"/>
        <v>7380.9615384615381</v>
      </c>
      <c r="AT73" s="15">
        <f t="shared" si="227"/>
        <v>1</v>
      </c>
      <c r="AU73" s="16">
        <f t="shared" si="245"/>
        <v>1</v>
      </c>
      <c r="AV73" s="16">
        <f t="shared" si="246"/>
        <v>1</v>
      </c>
      <c r="AW73" s="16">
        <f t="shared" si="247"/>
        <v>1</v>
      </c>
      <c r="AX73" s="16">
        <f t="shared" si="248"/>
        <v>1</v>
      </c>
      <c r="AY73" s="16">
        <f t="shared" si="249"/>
        <v>1</v>
      </c>
      <c r="AZ73" s="16">
        <f t="shared" si="250"/>
        <v>2</v>
      </c>
      <c r="BA73" s="16">
        <f t="shared" si="251"/>
        <v>1</v>
      </c>
      <c r="BB73" s="16">
        <f t="shared" si="252"/>
        <v>0</v>
      </c>
      <c r="BC73" s="17">
        <f t="shared" si="253"/>
        <v>0</v>
      </c>
    </row>
    <row r="74" spans="1:55" s="24" customFormat="1" x14ac:dyDescent="0.3">
      <c r="A74" s="219" t="s">
        <v>68</v>
      </c>
      <c r="B74" s="220">
        <v>26767</v>
      </c>
      <c r="C74" s="221">
        <v>26519</v>
      </c>
      <c r="D74" s="205" t="s">
        <v>99</v>
      </c>
      <c r="E74" s="49">
        <v>43861</v>
      </c>
      <c r="F74" s="312"/>
      <c r="G74" s="48">
        <v>900</v>
      </c>
      <c r="H74" s="55"/>
      <c r="I74" s="54"/>
      <c r="J74" s="48">
        <v>4440</v>
      </c>
      <c r="K74" s="53"/>
      <c r="L74" s="54"/>
      <c r="M74" s="48">
        <v>3080</v>
      </c>
      <c r="N74" s="55"/>
      <c r="O74" s="54"/>
      <c r="P74" s="48">
        <v>3432</v>
      </c>
      <c r="Q74" s="55"/>
      <c r="R74" s="54"/>
      <c r="S74" s="48">
        <v>1644</v>
      </c>
      <c r="T74" s="55"/>
      <c r="U74" s="54"/>
      <c r="V74" s="48">
        <v>970</v>
      </c>
      <c r="W74" s="55"/>
      <c r="X74" s="54"/>
      <c r="Y74" s="48">
        <v>3390</v>
      </c>
      <c r="Z74" s="55"/>
      <c r="AA74" s="54"/>
      <c r="AB74" s="48">
        <v>1640</v>
      </c>
      <c r="AC74" s="55"/>
      <c r="AD74" s="54"/>
      <c r="AE74" s="48">
        <v>0</v>
      </c>
      <c r="AF74" s="55"/>
      <c r="AG74" s="54"/>
      <c r="AH74" s="48">
        <v>4860</v>
      </c>
      <c r="AI74" s="55"/>
      <c r="AJ74" s="22">
        <f t="shared" si="237"/>
        <v>3278.4478021978025</v>
      </c>
      <c r="AK74" s="22">
        <f t="shared" si="238"/>
        <v>10199.615384615387</v>
      </c>
      <c r="AL74" s="22">
        <f t="shared" si="239"/>
        <v>7649.7115384615381</v>
      </c>
      <c r="AM74" s="22">
        <f t="shared" si="239"/>
        <v>7649.7115384615381</v>
      </c>
      <c r="AN74" s="22">
        <f t="shared" si="240"/>
        <v>4636.188811188812</v>
      </c>
      <c r="AO74" s="22">
        <f t="shared" si="241"/>
        <v>2868.6418269230771</v>
      </c>
      <c r="AP74" s="22">
        <f t="shared" si="242"/>
        <v>5737.2836538461543</v>
      </c>
      <c r="AQ74" s="22">
        <f t="shared" si="243"/>
        <v>2868.6418269230771</v>
      </c>
      <c r="AR74" s="22">
        <f t="shared" si="243"/>
        <v>2868.6418269230771</v>
      </c>
      <c r="AS74" s="23">
        <f t="shared" si="244"/>
        <v>5099.8076923076933</v>
      </c>
      <c r="AT74" s="15">
        <f t="shared" si="227"/>
        <v>1</v>
      </c>
      <c r="AU74" s="16">
        <f t="shared" si="245"/>
        <v>2</v>
      </c>
      <c r="AV74" s="16">
        <f t="shared" si="246"/>
        <v>2</v>
      </c>
      <c r="AW74" s="16">
        <f t="shared" si="247"/>
        <v>2</v>
      </c>
      <c r="AX74" s="16">
        <f t="shared" si="248"/>
        <v>2</v>
      </c>
      <c r="AY74" s="16">
        <f t="shared" si="249"/>
        <v>2</v>
      </c>
      <c r="AZ74" s="16">
        <f t="shared" si="250"/>
        <v>3</v>
      </c>
      <c r="BA74" s="16">
        <f t="shared" si="251"/>
        <v>3</v>
      </c>
      <c r="BB74" s="16">
        <f t="shared" si="252"/>
        <v>0</v>
      </c>
      <c r="BC74" s="17">
        <f t="shared" si="253"/>
        <v>5</v>
      </c>
    </row>
    <row r="75" spans="1:55" s="24" customFormat="1" x14ac:dyDescent="0.3">
      <c r="A75" s="219" t="s">
        <v>69</v>
      </c>
      <c r="B75" s="220">
        <v>34030</v>
      </c>
      <c r="C75" s="221">
        <v>33714</v>
      </c>
      <c r="D75" s="205" t="s">
        <v>99</v>
      </c>
      <c r="E75" s="49">
        <v>43861</v>
      </c>
      <c r="F75" s="312">
        <v>4180</v>
      </c>
      <c r="G75" s="48">
        <v>220</v>
      </c>
      <c r="H75" s="55"/>
      <c r="I75" s="54"/>
      <c r="J75" s="48">
        <v>3760</v>
      </c>
      <c r="K75" s="53"/>
      <c r="L75" s="54"/>
      <c r="M75" s="48">
        <v>2020</v>
      </c>
      <c r="N75" s="55"/>
      <c r="O75" s="54"/>
      <c r="P75" s="48">
        <v>2156</v>
      </c>
      <c r="Q75" s="55"/>
      <c r="R75" s="54"/>
      <c r="S75" s="48">
        <v>1600</v>
      </c>
      <c r="T75" s="55"/>
      <c r="U75" s="54"/>
      <c r="V75" s="48">
        <v>850</v>
      </c>
      <c r="W75" s="55"/>
      <c r="X75" s="54"/>
      <c r="Y75" s="48">
        <v>2590</v>
      </c>
      <c r="Z75" s="55"/>
      <c r="AA75" s="54"/>
      <c r="AB75" s="48">
        <v>890</v>
      </c>
      <c r="AC75" s="55"/>
      <c r="AD75" s="54"/>
      <c r="AE75" s="48">
        <v>0</v>
      </c>
      <c r="AF75" s="55"/>
      <c r="AG75" s="54"/>
      <c r="AH75" s="48">
        <v>2370</v>
      </c>
      <c r="AI75" s="55"/>
      <c r="AJ75" s="22">
        <f t="shared" si="237"/>
        <v>4167.9395604395613</v>
      </c>
      <c r="AK75" s="22">
        <f t="shared" si="238"/>
        <v>12966.923076923082</v>
      </c>
      <c r="AL75" s="22">
        <f t="shared" si="239"/>
        <v>9725.1923076923085</v>
      </c>
      <c r="AM75" s="22">
        <f t="shared" si="239"/>
        <v>9725.1923076923085</v>
      </c>
      <c r="AN75" s="22">
        <f t="shared" si="240"/>
        <v>5894.0559440559446</v>
      </c>
      <c r="AO75" s="22">
        <f t="shared" si="241"/>
        <v>3646.9471153846152</v>
      </c>
      <c r="AP75" s="22">
        <f t="shared" si="242"/>
        <v>7293.8942307692305</v>
      </c>
      <c r="AQ75" s="22">
        <f t="shared" si="243"/>
        <v>3646.9471153846152</v>
      </c>
      <c r="AR75" s="22">
        <f t="shared" si="243"/>
        <v>3646.9471153846152</v>
      </c>
      <c r="AS75" s="23">
        <f t="shared" si="244"/>
        <v>6483.4615384615408</v>
      </c>
      <c r="AT75" s="15">
        <f t="shared" si="227"/>
        <v>0</v>
      </c>
      <c r="AU75" s="16">
        <f t="shared" si="245"/>
        <v>1</v>
      </c>
      <c r="AV75" s="16">
        <f t="shared" si="246"/>
        <v>1</v>
      </c>
      <c r="AW75" s="16">
        <f t="shared" si="247"/>
        <v>1</v>
      </c>
      <c r="AX75" s="16">
        <f t="shared" si="248"/>
        <v>1</v>
      </c>
      <c r="AY75" s="16">
        <f t="shared" si="249"/>
        <v>1</v>
      </c>
      <c r="AZ75" s="16">
        <f t="shared" si="250"/>
        <v>2</v>
      </c>
      <c r="BA75" s="16">
        <f t="shared" si="251"/>
        <v>1</v>
      </c>
      <c r="BB75" s="16">
        <f t="shared" si="252"/>
        <v>0</v>
      </c>
      <c r="BC75" s="17">
        <f t="shared" si="253"/>
        <v>2</v>
      </c>
    </row>
    <row r="76" spans="1:55" s="24" customFormat="1" x14ac:dyDescent="0.3">
      <c r="A76" s="219" t="s">
        <v>70</v>
      </c>
      <c r="B76" s="220">
        <v>16550</v>
      </c>
      <c r="C76" s="221">
        <v>16397</v>
      </c>
      <c r="D76" s="205" t="s">
        <v>99</v>
      </c>
      <c r="E76" s="49">
        <v>43861</v>
      </c>
      <c r="F76" s="312">
        <v>1480</v>
      </c>
      <c r="G76" s="48">
        <v>240</v>
      </c>
      <c r="H76" s="55"/>
      <c r="I76" s="54"/>
      <c r="J76" s="48">
        <v>2940</v>
      </c>
      <c r="K76" s="53"/>
      <c r="L76" s="54"/>
      <c r="M76" s="48">
        <v>990</v>
      </c>
      <c r="N76" s="55"/>
      <c r="O76" s="54"/>
      <c r="P76" s="48">
        <v>1200</v>
      </c>
      <c r="Q76" s="55"/>
      <c r="R76" s="54"/>
      <c r="S76" s="48">
        <v>741</v>
      </c>
      <c r="T76" s="55"/>
      <c r="U76" s="54"/>
      <c r="V76" s="48">
        <v>370</v>
      </c>
      <c r="W76" s="55"/>
      <c r="X76" s="54"/>
      <c r="Y76" s="48">
        <v>2670</v>
      </c>
      <c r="Z76" s="55"/>
      <c r="AA76" s="54"/>
      <c r="AB76" s="48">
        <v>830</v>
      </c>
      <c r="AC76" s="55"/>
      <c r="AD76" s="54"/>
      <c r="AE76" s="48">
        <v>0</v>
      </c>
      <c r="AF76" s="55"/>
      <c r="AG76" s="54"/>
      <c r="AH76" s="48">
        <v>2020</v>
      </c>
      <c r="AI76" s="55"/>
      <c r="AJ76" s="22">
        <f t="shared" si="237"/>
        <v>2027.1016483516485</v>
      </c>
      <c r="AK76" s="22">
        <f t="shared" si="238"/>
        <v>6306.5384615384628</v>
      </c>
      <c r="AL76" s="22">
        <f t="shared" si="239"/>
        <v>4729.9038461538466</v>
      </c>
      <c r="AM76" s="22">
        <f t="shared" si="239"/>
        <v>4729.9038461538466</v>
      </c>
      <c r="AN76" s="22">
        <f t="shared" si="240"/>
        <v>2866.6083916083921</v>
      </c>
      <c r="AO76" s="22">
        <f t="shared" si="241"/>
        <v>1773.7139423076924</v>
      </c>
      <c r="AP76" s="22">
        <f t="shared" si="242"/>
        <v>3547.4278846153848</v>
      </c>
      <c r="AQ76" s="22">
        <f t="shared" si="243"/>
        <v>1773.7139423076924</v>
      </c>
      <c r="AR76" s="22">
        <f t="shared" si="243"/>
        <v>1773.7139423076924</v>
      </c>
      <c r="AS76" s="23">
        <f t="shared" si="244"/>
        <v>3153.2692307692314</v>
      </c>
      <c r="AT76" s="15">
        <f t="shared" si="227"/>
        <v>1</v>
      </c>
      <c r="AU76" s="16">
        <f t="shared" si="245"/>
        <v>2</v>
      </c>
      <c r="AV76" s="16">
        <f t="shared" si="246"/>
        <v>1</v>
      </c>
      <c r="AW76" s="16">
        <f t="shared" si="247"/>
        <v>1</v>
      </c>
      <c r="AX76" s="16">
        <f t="shared" si="248"/>
        <v>1</v>
      </c>
      <c r="AY76" s="16">
        <f t="shared" si="249"/>
        <v>1</v>
      </c>
      <c r="AZ76" s="16">
        <f t="shared" si="250"/>
        <v>4</v>
      </c>
      <c r="BA76" s="16">
        <f t="shared" si="251"/>
        <v>2</v>
      </c>
      <c r="BB76" s="16">
        <f t="shared" si="252"/>
        <v>0</v>
      </c>
      <c r="BC76" s="17">
        <f t="shared" si="253"/>
        <v>3</v>
      </c>
    </row>
    <row r="77" spans="1:55" s="24" customFormat="1" x14ac:dyDescent="0.3">
      <c r="A77" s="219" t="s">
        <v>71</v>
      </c>
      <c r="B77" s="220">
        <v>28776</v>
      </c>
      <c r="C77" s="221">
        <v>28509</v>
      </c>
      <c r="D77" s="205" t="s">
        <v>99</v>
      </c>
      <c r="E77" s="49">
        <v>43861</v>
      </c>
      <c r="F77" s="312">
        <v>2560</v>
      </c>
      <c r="G77" s="48">
        <v>1100</v>
      </c>
      <c r="H77" s="55"/>
      <c r="I77" s="54"/>
      <c r="J77" s="48">
        <v>4900</v>
      </c>
      <c r="K77" s="53"/>
      <c r="L77" s="54"/>
      <c r="M77" s="48">
        <v>2380</v>
      </c>
      <c r="N77" s="55"/>
      <c r="O77" s="54"/>
      <c r="P77" s="48">
        <v>4532</v>
      </c>
      <c r="Q77" s="55"/>
      <c r="R77" s="54"/>
      <c r="S77" s="48">
        <v>2340</v>
      </c>
      <c r="T77" s="55"/>
      <c r="U77" s="54"/>
      <c r="V77" s="48">
        <v>810</v>
      </c>
      <c r="W77" s="55"/>
      <c r="X77" s="54"/>
      <c r="Y77" s="48">
        <v>3020</v>
      </c>
      <c r="Z77" s="55"/>
      <c r="AA77" s="54"/>
      <c r="AB77" s="48">
        <v>870</v>
      </c>
      <c r="AC77" s="55"/>
      <c r="AD77" s="54"/>
      <c r="AE77" s="48">
        <v>0</v>
      </c>
      <c r="AF77" s="55"/>
      <c r="AG77" s="54"/>
      <c r="AH77" s="48">
        <v>2190</v>
      </c>
      <c r="AI77" s="55"/>
      <c r="AJ77" s="22">
        <f t="shared" si="237"/>
        <v>3524.4642857142853</v>
      </c>
      <c r="AK77" s="22">
        <f t="shared" si="238"/>
        <v>10965.000000000002</v>
      </c>
      <c r="AL77" s="22">
        <f t="shared" si="239"/>
        <v>8223.75</v>
      </c>
      <c r="AM77" s="22">
        <f t="shared" si="239"/>
        <v>8223.75</v>
      </c>
      <c r="AN77" s="22">
        <f t="shared" si="240"/>
        <v>4984.0909090909099</v>
      </c>
      <c r="AO77" s="22">
        <f t="shared" si="241"/>
        <v>3083.9062500000005</v>
      </c>
      <c r="AP77" s="22">
        <f t="shared" si="242"/>
        <v>6167.8125000000009</v>
      </c>
      <c r="AQ77" s="22">
        <f t="shared" si="243"/>
        <v>3083.9062500000005</v>
      </c>
      <c r="AR77" s="22">
        <f t="shared" si="243"/>
        <v>3083.9062500000005</v>
      </c>
      <c r="AS77" s="23">
        <f t="shared" si="244"/>
        <v>5482.5000000000009</v>
      </c>
      <c r="AT77" s="15">
        <f t="shared" si="227"/>
        <v>2</v>
      </c>
      <c r="AU77" s="16">
        <f t="shared" si="245"/>
        <v>2</v>
      </c>
      <c r="AV77" s="16">
        <f t="shared" si="246"/>
        <v>1</v>
      </c>
      <c r="AW77" s="16">
        <f t="shared" si="247"/>
        <v>3</v>
      </c>
      <c r="AX77" s="16">
        <f t="shared" si="248"/>
        <v>2</v>
      </c>
      <c r="AY77" s="16">
        <f t="shared" si="249"/>
        <v>1</v>
      </c>
      <c r="AZ77" s="16">
        <f t="shared" si="250"/>
        <v>2</v>
      </c>
      <c r="BA77" s="16">
        <f t="shared" si="251"/>
        <v>1</v>
      </c>
      <c r="BB77" s="16">
        <f t="shared" si="252"/>
        <v>0</v>
      </c>
      <c r="BC77" s="17">
        <f t="shared" si="253"/>
        <v>2</v>
      </c>
    </row>
    <row r="78" spans="1:55" s="24" customFormat="1" x14ac:dyDescent="0.3">
      <c r="A78" s="219" t="s">
        <v>72</v>
      </c>
      <c r="B78" s="220">
        <v>2490</v>
      </c>
      <c r="C78" s="221">
        <v>2467</v>
      </c>
      <c r="D78" s="205" t="s">
        <v>99</v>
      </c>
      <c r="E78" s="49">
        <v>43861</v>
      </c>
      <c r="F78" s="312">
        <v>340</v>
      </c>
      <c r="G78" s="48">
        <v>170</v>
      </c>
      <c r="H78" s="55"/>
      <c r="I78" s="54"/>
      <c r="J78" s="48">
        <v>500</v>
      </c>
      <c r="K78" s="53"/>
      <c r="L78" s="54"/>
      <c r="M78" s="48">
        <v>190</v>
      </c>
      <c r="N78" s="55"/>
      <c r="O78" s="54"/>
      <c r="P78" s="48">
        <v>120</v>
      </c>
      <c r="Q78" s="55"/>
      <c r="R78" s="54"/>
      <c r="S78" s="48">
        <v>350</v>
      </c>
      <c r="T78" s="55"/>
      <c r="U78" s="54"/>
      <c r="V78" s="48">
        <v>110</v>
      </c>
      <c r="W78" s="55"/>
      <c r="X78" s="54"/>
      <c r="Y78" s="48">
        <v>500</v>
      </c>
      <c r="Z78" s="55"/>
      <c r="AA78" s="54"/>
      <c r="AB78" s="48">
        <v>20</v>
      </c>
      <c r="AC78" s="55"/>
      <c r="AD78" s="54"/>
      <c r="AE78" s="48">
        <v>0</v>
      </c>
      <c r="AF78" s="55"/>
      <c r="AG78" s="54"/>
      <c r="AH78" s="48">
        <v>170</v>
      </c>
      <c r="AI78" s="55"/>
      <c r="AJ78" s="22">
        <f t="shared" si="237"/>
        <v>304.98626373626377</v>
      </c>
      <c r="AK78" s="22">
        <f t="shared" si="238"/>
        <v>948.84615384615404</v>
      </c>
      <c r="AL78" s="22">
        <f t="shared" si="239"/>
        <v>711.63461538461547</v>
      </c>
      <c r="AM78" s="22">
        <f t="shared" si="239"/>
        <v>711.63461538461547</v>
      </c>
      <c r="AN78" s="22">
        <f t="shared" si="240"/>
        <v>431.29370629370635</v>
      </c>
      <c r="AO78" s="22">
        <f t="shared" si="241"/>
        <v>266.86298076923077</v>
      </c>
      <c r="AP78" s="22">
        <f t="shared" si="242"/>
        <v>533.72596153846155</v>
      </c>
      <c r="AQ78" s="22">
        <f t="shared" si="243"/>
        <v>266.86298076923077</v>
      </c>
      <c r="AR78" s="22">
        <f t="shared" si="243"/>
        <v>266.86298076923077</v>
      </c>
      <c r="AS78" s="23">
        <f t="shared" si="244"/>
        <v>474.42307692307702</v>
      </c>
      <c r="AT78" s="15">
        <f t="shared" si="227"/>
        <v>3</v>
      </c>
      <c r="AU78" s="16">
        <f t="shared" si="245"/>
        <v>3</v>
      </c>
      <c r="AV78" s="16">
        <f t="shared" si="246"/>
        <v>1</v>
      </c>
      <c r="AW78" s="16">
        <f t="shared" si="247"/>
        <v>1</v>
      </c>
      <c r="AX78" s="16">
        <f t="shared" si="248"/>
        <v>4</v>
      </c>
      <c r="AY78" s="16">
        <f t="shared" si="249"/>
        <v>2</v>
      </c>
      <c r="AZ78" s="16">
        <f t="shared" si="250"/>
        <v>5</v>
      </c>
      <c r="BA78" s="16">
        <f t="shared" si="251"/>
        <v>0</v>
      </c>
      <c r="BB78" s="16">
        <f t="shared" si="252"/>
        <v>0</v>
      </c>
      <c r="BC78" s="17">
        <f t="shared" si="253"/>
        <v>2</v>
      </c>
    </row>
    <row r="79" spans="1:55" x14ac:dyDescent="0.3">
      <c r="A79" s="219" t="s">
        <v>73</v>
      </c>
      <c r="B79" s="220">
        <v>21654</v>
      </c>
      <c r="C79" s="221">
        <v>21454</v>
      </c>
      <c r="D79" s="205" t="s">
        <v>99</v>
      </c>
      <c r="E79" s="49">
        <v>43861</v>
      </c>
      <c r="F79" s="312">
        <v>2680</v>
      </c>
      <c r="G79" s="48">
        <v>0</v>
      </c>
      <c r="H79" s="55"/>
      <c r="I79" s="54"/>
      <c r="J79" s="48">
        <v>940</v>
      </c>
      <c r="K79" s="53"/>
      <c r="L79" s="54"/>
      <c r="M79" s="48">
        <v>190</v>
      </c>
      <c r="N79" s="55"/>
      <c r="O79" s="54"/>
      <c r="P79" s="48">
        <v>748</v>
      </c>
      <c r="Q79" s="55"/>
      <c r="R79" s="54"/>
      <c r="S79" s="48">
        <v>0</v>
      </c>
      <c r="T79" s="55"/>
      <c r="U79" s="54"/>
      <c r="V79" s="48">
        <v>160</v>
      </c>
      <c r="W79" s="55"/>
      <c r="X79" s="54"/>
      <c r="Y79" s="48">
        <v>550</v>
      </c>
      <c r="Z79" s="55"/>
      <c r="AA79" s="54"/>
      <c r="AB79" s="48">
        <v>320</v>
      </c>
      <c r="AC79" s="55"/>
      <c r="AD79" s="54"/>
      <c r="AE79" s="48">
        <v>0</v>
      </c>
      <c r="AF79" s="55"/>
      <c r="AG79" s="54"/>
      <c r="AH79" s="48">
        <v>1650</v>
      </c>
      <c r="AI79" s="55"/>
      <c r="AJ79" s="22">
        <f t="shared" si="237"/>
        <v>2652.2802197802202</v>
      </c>
      <c r="AK79" s="22">
        <f t="shared" si="238"/>
        <v>8251.5384615384628</v>
      </c>
      <c r="AL79" s="22">
        <f t="shared" si="239"/>
        <v>6188.6538461538466</v>
      </c>
      <c r="AM79" s="22">
        <f t="shared" si="239"/>
        <v>6188.6538461538466</v>
      </c>
      <c r="AN79" s="22">
        <f t="shared" si="240"/>
        <v>3750.6993006993016</v>
      </c>
      <c r="AO79" s="22">
        <f t="shared" si="241"/>
        <v>2320.7451923076924</v>
      </c>
      <c r="AP79" s="22">
        <f t="shared" si="242"/>
        <v>4641.4903846153848</v>
      </c>
      <c r="AQ79" s="22">
        <f t="shared" si="243"/>
        <v>2320.7451923076924</v>
      </c>
      <c r="AR79" s="22">
        <f t="shared" si="243"/>
        <v>2320.7451923076924</v>
      </c>
      <c r="AS79" s="23">
        <f t="shared" si="244"/>
        <v>4125.7692307692314</v>
      </c>
      <c r="AT79" s="31">
        <f t="shared" si="227"/>
        <v>0</v>
      </c>
      <c r="AU79" s="32">
        <f t="shared" si="245"/>
        <v>1</v>
      </c>
      <c r="AV79" s="32">
        <f t="shared" si="246"/>
        <v>0</v>
      </c>
      <c r="AW79" s="32">
        <f t="shared" si="247"/>
        <v>1</v>
      </c>
      <c r="AX79" s="32">
        <f t="shared" si="248"/>
        <v>0</v>
      </c>
      <c r="AY79" s="32">
        <f t="shared" si="249"/>
        <v>0</v>
      </c>
      <c r="AZ79" s="32">
        <f t="shared" si="250"/>
        <v>1</v>
      </c>
      <c r="BA79" s="32">
        <f t="shared" si="251"/>
        <v>1</v>
      </c>
      <c r="BB79" s="32">
        <f t="shared" si="252"/>
        <v>0</v>
      </c>
      <c r="BC79" s="33">
        <f t="shared" si="253"/>
        <v>2</v>
      </c>
    </row>
    <row r="80" spans="1:55" x14ac:dyDescent="0.3">
      <c r="A80" s="208" t="s">
        <v>90</v>
      </c>
      <c r="B80" s="215">
        <v>46364</v>
      </c>
      <c r="C80" s="210">
        <v>45605</v>
      </c>
      <c r="D80" s="205" t="s">
        <v>99</v>
      </c>
      <c r="E80" s="49">
        <v>43861</v>
      </c>
      <c r="F80" s="71"/>
      <c r="G80" s="58">
        <v>12500</v>
      </c>
      <c r="H80" s="59"/>
      <c r="I80" s="60"/>
      <c r="J80" s="58">
        <v>43720</v>
      </c>
      <c r="K80" s="61"/>
      <c r="L80" s="60"/>
      <c r="M80" s="58">
        <v>32600</v>
      </c>
      <c r="N80" s="59"/>
      <c r="O80" s="60"/>
      <c r="P80" s="58">
        <v>33400</v>
      </c>
      <c r="Q80" s="59"/>
      <c r="R80" s="60"/>
      <c r="S80" s="58">
        <v>20800</v>
      </c>
      <c r="T80" s="59"/>
      <c r="U80" s="60"/>
      <c r="V80" s="58">
        <v>10800</v>
      </c>
      <c r="W80" s="59"/>
      <c r="X80" s="60"/>
      <c r="Y80" s="58">
        <v>31100</v>
      </c>
      <c r="Z80" s="59"/>
      <c r="AA80" s="60"/>
      <c r="AB80" s="58">
        <v>12300</v>
      </c>
      <c r="AC80" s="59"/>
      <c r="AD80" s="60"/>
      <c r="AE80" s="58">
        <v>0</v>
      </c>
      <c r="AF80" s="59"/>
      <c r="AG80" s="60"/>
      <c r="AH80" s="58">
        <v>25400</v>
      </c>
      <c r="AI80" s="59"/>
      <c r="AJ80" s="21">
        <f>((B80*0.9*1.43)/52)*15</f>
        <v>17212.634999999998</v>
      </c>
      <c r="AK80" s="21">
        <f>((C80*0.9*4*1.25)/52)*15</f>
        <v>59198.798076923078</v>
      </c>
      <c r="AL80" s="21">
        <f>((C80*0.9*3*1.11)/52)*15</f>
        <v>39426.39951923077</v>
      </c>
      <c r="AM80" s="21">
        <f>((C80*0.9*3*1.11)/52)*15</f>
        <v>39426.39951923077</v>
      </c>
      <c r="AN80" s="21">
        <f>((C80*0.9*2*1.05)/52)*15</f>
        <v>24863.495192307691</v>
      </c>
      <c r="AO80" s="21">
        <f>((C80*0.9*1*1.25)/52)*15</f>
        <v>14799.69951923077</v>
      </c>
      <c r="AP80" s="21">
        <f>((C80*0.9*2*1.25)/52)*15</f>
        <v>29599.399038461539</v>
      </c>
      <c r="AQ80" s="21">
        <f>((C80*0.9*1*1.25)/52)*15</f>
        <v>14799.69951923077</v>
      </c>
      <c r="AR80" s="21">
        <f>((C80*0.9*1*1.25)/52)*15</f>
        <v>14799.69951923077</v>
      </c>
      <c r="AS80" s="21">
        <f>((B80*0.9*2*1.11)/52)*15</f>
        <v>26721.713076923079</v>
      </c>
      <c r="AT80" s="15">
        <f>ROUND(G80/(AJ80/15),0)</f>
        <v>11</v>
      </c>
      <c r="AU80" s="16">
        <f t="shared" ref="AU80" si="254">ROUND(J80/(AK80/15),0)</f>
        <v>11</v>
      </c>
      <c r="AV80" s="16">
        <f t="shared" ref="AV80" si="255">ROUND(M80/(AL80/15),0)</f>
        <v>12</v>
      </c>
      <c r="AW80" s="16">
        <f t="shared" ref="AW80" si="256">ROUND(P80/(AM80/15),0)</f>
        <v>13</v>
      </c>
      <c r="AX80" s="16">
        <f t="shared" ref="AX80" si="257">ROUND(S80/(AN80/15),0)</f>
        <v>13</v>
      </c>
      <c r="AY80" s="16">
        <f t="shared" ref="AY80" si="258">ROUND(V80/(AO80/15),0)</f>
        <v>11</v>
      </c>
      <c r="AZ80" s="16">
        <f t="shared" ref="AZ80" si="259">ROUND(Y80/(AP80/15),0)</f>
        <v>16</v>
      </c>
      <c r="BA80" s="16">
        <f t="shared" ref="BA80" si="260">ROUND(AB80/(AQ80/15),0)</f>
        <v>12</v>
      </c>
      <c r="BB80" s="16">
        <f t="shared" ref="BB80" si="261">ROUND(AE80/(AR80/15),0)</f>
        <v>0</v>
      </c>
      <c r="BC80" s="17">
        <f t="shared" ref="BC80" si="262">ROUND(AH80/(AS80/15),0)</f>
        <v>14</v>
      </c>
    </row>
    <row r="81" spans="1:55" x14ac:dyDescent="0.3">
      <c r="A81" s="211" t="s">
        <v>74</v>
      </c>
      <c r="B81" s="212">
        <v>9483</v>
      </c>
      <c r="C81" s="213">
        <v>9328</v>
      </c>
      <c r="D81" s="205" t="s">
        <v>99</v>
      </c>
      <c r="E81" s="49">
        <v>43861</v>
      </c>
      <c r="F81" s="50"/>
      <c r="G81" s="48">
        <v>960</v>
      </c>
      <c r="H81" s="55"/>
      <c r="I81" s="54"/>
      <c r="J81" s="48">
        <v>630</v>
      </c>
      <c r="K81" s="53"/>
      <c r="L81" s="54"/>
      <c r="M81" s="48">
        <v>800</v>
      </c>
      <c r="N81" s="55"/>
      <c r="O81" s="54"/>
      <c r="P81" s="48">
        <v>744</v>
      </c>
      <c r="Q81" s="55"/>
      <c r="R81" s="54"/>
      <c r="S81" s="48">
        <v>282</v>
      </c>
      <c r="T81" s="55"/>
      <c r="U81" s="54"/>
      <c r="V81" s="48">
        <v>810</v>
      </c>
      <c r="W81" s="55"/>
      <c r="X81" s="54"/>
      <c r="Y81" s="48">
        <v>1700</v>
      </c>
      <c r="Z81" s="55"/>
      <c r="AA81" s="54"/>
      <c r="AB81" s="48">
        <v>990</v>
      </c>
      <c r="AC81" s="55"/>
      <c r="AD81" s="54"/>
      <c r="AE81" s="48">
        <v>0</v>
      </c>
      <c r="AF81" s="55"/>
      <c r="AG81" s="54"/>
      <c r="AH81" s="48">
        <v>830</v>
      </c>
      <c r="AI81" s="55"/>
      <c r="AJ81" s="22">
        <f>(($C81*AJ$5*1*(1/(1-0.3)))/52)*5</f>
        <v>1153.1868131868132</v>
      </c>
      <c r="AK81" s="22">
        <f>(($C81*AK$5*4*(1/(1-0.1)))/52)*5</f>
        <v>3587.6923076923085</v>
      </c>
      <c r="AL81" s="22">
        <f>(($C81*AL$5*3*(1/(1-0.1)))/52)*5</f>
        <v>2690.7692307692309</v>
      </c>
      <c r="AM81" s="22">
        <f>(($C81*AM$5*3*(1/(1-0.1)))/52)*5</f>
        <v>2690.7692307692309</v>
      </c>
      <c r="AN81" s="22">
        <f>(($C81*AN$5*2*(1/(1-0.01)))/52)*5</f>
        <v>1630.7692307692312</v>
      </c>
      <c r="AO81" s="22">
        <f>(($C81*AO$5*1*(1/(1-0.2)))/52)*5</f>
        <v>1009.0384615384617</v>
      </c>
      <c r="AP81" s="22">
        <f>(($C81*AP$5*2*(1/(1-0.2)))/52)*5</f>
        <v>2018.0769230769233</v>
      </c>
      <c r="AQ81" s="22">
        <f>(($C81*AQ$5*1*(1/(1-0.2)))/52)*5</f>
        <v>1009.0384615384617</v>
      </c>
      <c r="AR81" s="22">
        <f>(($C81*AR$5*1*(1/(1-0.2)))/52)*5</f>
        <v>1009.0384615384617</v>
      </c>
      <c r="AS81" s="23">
        <f>(($C81*AS$5*2*(1/(1-0.1)))/52)*5</f>
        <v>1793.8461538461543</v>
      </c>
      <c r="AT81" s="15">
        <f>ROUND(G81/(AJ81/5),0)</f>
        <v>4</v>
      </c>
      <c r="AU81" s="16">
        <f t="shared" ref="AU81" si="263">ROUND(J81/(AK81/5),0)</f>
        <v>1</v>
      </c>
      <c r="AV81" s="16">
        <f t="shared" ref="AV81" si="264">ROUND(M81/(AL81/5),0)</f>
        <v>1</v>
      </c>
      <c r="AW81" s="16">
        <f t="shared" ref="AW81" si="265">ROUND(P81/(AM81/5),0)</f>
        <v>1</v>
      </c>
      <c r="AX81" s="16">
        <f t="shared" ref="AX81" si="266">ROUND(S81/(AN81/5),0)</f>
        <v>1</v>
      </c>
      <c r="AY81" s="16">
        <f t="shared" ref="AY81" si="267">ROUND(V81/(AO81/5),0)</f>
        <v>4</v>
      </c>
      <c r="AZ81" s="16">
        <f t="shared" ref="AZ81" si="268">ROUND(Y81/(AP81/5),0)</f>
        <v>4</v>
      </c>
      <c r="BA81" s="16">
        <f t="shared" ref="BA81" si="269">ROUND(AB81/(AQ81/5),0)</f>
        <v>5</v>
      </c>
      <c r="BB81" s="16">
        <f t="shared" ref="BB81" si="270">ROUND(AE81/(AR81/5),0)</f>
        <v>0</v>
      </c>
      <c r="BC81" s="17">
        <f t="shared" ref="BC81" si="271">ROUND(AH81/(AS81/5),0)</f>
        <v>2</v>
      </c>
    </row>
    <row r="82" spans="1:55" x14ac:dyDescent="0.3">
      <c r="A82" s="211" t="s">
        <v>75</v>
      </c>
      <c r="B82" s="212">
        <v>11148</v>
      </c>
      <c r="C82" s="213">
        <v>10965</v>
      </c>
      <c r="D82" s="205" t="s">
        <v>99</v>
      </c>
      <c r="E82" s="49">
        <v>43861</v>
      </c>
      <c r="F82" s="50"/>
      <c r="G82" s="48">
        <v>1200</v>
      </c>
      <c r="H82" s="55"/>
      <c r="I82" s="54"/>
      <c r="J82" s="48">
        <v>260</v>
      </c>
      <c r="K82" s="53"/>
      <c r="L82" s="54"/>
      <c r="M82" s="48">
        <v>270</v>
      </c>
      <c r="N82" s="55"/>
      <c r="O82" s="54"/>
      <c r="P82" s="48">
        <v>464</v>
      </c>
      <c r="Q82" s="55"/>
      <c r="R82" s="54"/>
      <c r="S82" s="48">
        <v>8</v>
      </c>
      <c r="T82" s="55"/>
      <c r="U82" s="54"/>
      <c r="V82" s="48">
        <v>530</v>
      </c>
      <c r="W82" s="55"/>
      <c r="X82" s="54"/>
      <c r="Y82" s="48">
        <v>1280</v>
      </c>
      <c r="Z82" s="55"/>
      <c r="AA82" s="54"/>
      <c r="AB82" s="48">
        <v>820</v>
      </c>
      <c r="AC82" s="55"/>
      <c r="AD82" s="54"/>
      <c r="AE82" s="48">
        <v>0</v>
      </c>
      <c r="AF82" s="55"/>
      <c r="AG82" s="54"/>
      <c r="AH82" s="48">
        <v>1050</v>
      </c>
      <c r="AI82" s="55"/>
      <c r="AJ82" s="22">
        <f t="shared" ref="AJ82" si="272">(($C82*AJ$5*1*(1/(1-0.3)))/52)*5</f>
        <v>1355.5631868131868</v>
      </c>
      <c r="AK82" s="22">
        <f t="shared" ref="AK82:AK85" si="273">(($C82*AK$5*4*(1/(1-0.1)))/52)*5</f>
        <v>4217.3076923076924</v>
      </c>
      <c r="AL82" s="22">
        <f t="shared" ref="AL82:AM85" si="274">(($C82*AL$5*3*(1/(1-0.1)))/52)*5</f>
        <v>3162.9807692307691</v>
      </c>
      <c r="AM82" s="22">
        <f t="shared" si="274"/>
        <v>3162.9807692307691</v>
      </c>
      <c r="AN82" s="22">
        <f t="shared" ref="AN82:AN85" si="275">(($C82*AN$5*2*(1/(1-0.01)))/52)*5</f>
        <v>1916.9580419580418</v>
      </c>
      <c r="AO82" s="22">
        <f t="shared" ref="AO82:AO85" si="276">(($C82*AO$5*1*(1/(1-0.2)))/52)*5</f>
        <v>1186.1177884615383</v>
      </c>
      <c r="AP82" s="22">
        <f t="shared" ref="AP82:AP85" si="277">(($C82*AP$5*2*(1/(1-0.2)))/52)*5</f>
        <v>2372.2355769230767</v>
      </c>
      <c r="AQ82" s="22">
        <f t="shared" ref="AQ82:AR85" si="278">(($C82*AQ$5*1*(1/(1-0.2)))/52)*5</f>
        <v>1186.1177884615383</v>
      </c>
      <c r="AR82" s="22">
        <f t="shared" si="278"/>
        <v>1186.1177884615383</v>
      </c>
      <c r="AS82" s="23">
        <f t="shared" ref="AS82:AS85" si="279">(($C82*AS$5*2*(1/(1-0.1)))/52)*5</f>
        <v>2108.6538461538462</v>
      </c>
      <c r="AT82" s="15">
        <f>ROUND(G82/(AJ82/5),0)</f>
        <v>4</v>
      </c>
      <c r="AU82" s="16">
        <f t="shared" ref="AU82:AU85" si="280">ROUND(J82/(AK82/5),0)</f>
        <v>0</v>
      </c>
      <c r="AV82" s="16">
        <f t="shared" ref="AV82:AV85" si="281">ROUND(M82/(AL82/5),0)</f>
        <v>0</v>
      </c>
      <c r="AW82" s="16">
        <f t="shared" ref="AW82:AW85" si="282">ROUND(P82/(AM82/5),0)</f>
        <v>1</v>
      </c>
      <c r="AX82" s="16">
        <f t="shared" ref="AX82:AX85" si="283">ROUND(S82/(AN82/5),0)</f>
        <v>0</v>
      </c>
      <c r="AY82" s="16">
        <f t="shared" ref="AY82:AY85" si="284">ROUND(V82/(AO82/5),0)</f>
        <v>2</v>
      </c>
      <c r="AZ82" s="16">
        <f t="shared" ref="AZ82:AZ85" si="285">ROUND(Y82/(AP82/5),0)</f>
        <v>3</v>
      </c>
      <c r="BA82" s="16">
        <f t="shared" ref="BA82:BA85" si="286">ROUND(AB82/(AQ82/5),0)</f>
        <v>3</v>
      </c>
      <c r="BB82" s="16">
        <f t="shared" ref="BB82:BB85" si="287">ROUND(AE82/(AR82/5),0)</f>
        <v>0</v>
      </c>
      <c r="BC82" s="17">
        <f t="shared" ref="BC82:BC85" si="288">ROUND(AH82/(AS82/5),0)</f>
        <v>2</v>
      </c>
    </row>
    <row r="83" spans="1:55" x14ac:dyDescent="0.3">
      <c r="A83" s="211" t="s">
        <v>76</v>
      </c>
      <c r="B83" s="212">
        <v>7368</v>
      </c>
      <c r="C83" s="213">
        <v>7247</v>
      </c>
      <c r="D83" s="205" t="s">
        <v>99</v>
      </c>
      <c r="E83" s="49">
        <v>43861</v>
      </c>
      <c r="F83" s="50"/>
      <c r="G83" s="48">
        <v>400</v>
      </c>
      <c r="H83" s="55"/>
      <c r="I83" s="54"/>
      <c r="J83" s="48">
        <v>1800</v>
      </c>
      <c r="K83" s="53"/>
      <c r="L83" s="54"/>
      <c r="M83" s="48">
        <v>510</v>
      </c>
      <c r="N83" s="55"/>
      <c r="O83" s="54"/>
      <c r="P83" s="48">
        <v>248</v>
      </c>
      <c r="Q83" s="55"/>
      <c r="R83" s="54"/>
      <c r="S83" s="48">
        <v>760</v>
      </c>
      <c r="T83" s="55"/>
      <c r="U83" s="54"/>
      <c r="V83" s="48">
        <v>680</v>
      </c>
      <c r="W83" s="55"/>
      <c r="X83" s="54"/>
      <c r="Y83" s="48">
        <v>1180</v>
      </c>
      <c r="Z83" s="55"/>
      <c r="AA83" s="54"/>
      <c r="AB83" s="48">
        <v>610</v>
      </c>
      <c r="AC83" s="55"/>
      <c r="AD83" s="54"/>
      <c r="AE83" s="48">
        <v>0</v>
      </c>
      <c r="AF83" s="55"/>
      <c r="AG83" s="54"/>
      <c r="AH83" s="48">
        <v>1030</v>
      </c>
      <c r="AI83" s="55"/>
      <c r="AJ83" s="22">
        <f>(($C83*AJ$5*1*(1/(1-0.3)))/52)*5</f>
        <v>895.92032967032981</v>
      </c>
      <c r="AK83" s="22">
        <f t="shared" si="273"/>
        <v>2787.3076923076928</v>
      </c>
      <c r="AL83" s="22">
        <f t="shared" si="274"/>
        <v>2090.4807692307695</v>
      </c>
      <c r="AM83" s="22">
        <f t="shared" si="274"/>
        <v>2090.4807692307695</v>
      </c>
      <c r="AN83" s="22">
        <f t="shared" si="275"/>
        <v>1266.958041958042</v>
      </c>
      <c r="AO83" s="22">
        <f t="shared" si="276"/>
        <v>783.93028846153834</v>
      </c>
      <c r="AP83" s="22">
        <f t="shared" si="277"/>
        <v>1567.8605769230767</v>
      </c>
      <c r="AQ83" s="22">
        <f t="shared" si="278"/>
        <v>783.93028846153834</v>
      </c>
      <c r="AR83" s="22">
        <f t="shared" si="278"/>
        <v>783.93028846153834</v>
      </c>
      <c r="AS83" s="23">
        <f t="shared" si="279"/>
        <v>1393.6538461538464</v>
      </c>
      <c r="AT83" s="15">
        <f>ROUND(G83/(AJ83/5),0)</f>
        <v>2</v>
      </c>
      <c r="AU83" s="16">
        <f t="shared" si="280"/>
        <v>3</v>
      </c>
      <c r="AV83" s="16">
        <f t="shared" si="281"/>
        <v>1</v>
      </c>
      <c r="AW83" s="16">
        <f t="shared" si="282"/>
        <v>1</v>
      </c>
      <c r="AX83" s="16">
        <f t="shared" si="283"/>
        <v>3</v>
      </c>
      <c r="AY83" s="16">
        <f t="shared" si="284"/>
        <v>4</v>
      </c>
      <c r="AZ83" s="16">
        <f t="shared" si="285"/>
        <v>4</v>
      </c>
      <c r="BA83" s="16">
        <f t="shared" si="286"/>
        <v>4</v>
      </c>
      <c r="BB83" s="16">
        <f t="shared" si="287"/>
        <v>0</v>
      </c>
      <c r="BC83" s="17">
        <f t="shared" si="288"/>
        <v>4</v>
      </c>
    </row>
    <row r="84" spans="1:55" x14ac:dyDescent="0.3">
      <c r="A84" s="211" t="s">
        <v>77</v>
      </c>
      <c r="B84" s="212">
        <v>12394</v>
      </c>
      <c r="C84" s="213">
        <v>12191</v>
      </c>
      <c r="D84" s="205" t="s">
        <v>99</v>
      </c>
      <c r="E84" s="49">
        <v>43861</v>
      </c>
      <c r="F84" s="50"/>
      <c r="G84" s="48">
        <v>600</v>
      </c>
      <c r="H84" s="55"/>
      <c r="I84" s="54"/>
      <c r="J84" s="48">
        <v>800</v>
      </c>
      <c r="K84" s="53"/>
      <c r="L84" s="54"/>
      <c r="M84" s="48">
        <v>1110</v>
      </c>
      <c r="N84" s="55"/>
      <c r="O84" s="54"/>
      <c r="P84" s="48">
        <v>1056</v>
      </c>
      <c r="Q84" s="55"/>
      <c r="R84" s="54"/>
      <c r="S84" s="48">
        <v>327</v>
      </c>
      <c r="T84" s="55"/>
      <c r="U84" s="54"/>
      <c r="V84" s="48">
        <v>1200</v>
      </c>
      <c r="W84" s="55"/>
      <c r="X84" s="54"/>
      <c r="Y84" s="48">
        <v>1960</v>
      </c>
      <c r="Z84" s="55"/>
      <c r="AA84" s="54"/>
      <c r="AB84" s="48">
        <v>1020</v>
      </c>
      <c r="AC84" s="55"/>
      <c r="AD84" s="54"/>
      <c r="AE84" s="48">
        <v>0</v>
      </c>
      <c r="AF84" s="55"/>
      <c r="AG84" s="54"/>
      <c r="AH84" s="48">
        <v>1690</v>
      </c>
      <c r="AI84" s="55"/>
      <c r="AJ84" s="22">
        <f t="shared" ref="AJ84:AJ85" si="289">(($C84*AJ$5*1*(1/(1-0.3)))/52)*5</f>
        <v>1507.1291208791208</v>
      </c>
      <c r="AK84" s="22">
        <f t="shared" si="273"/>
        <v>4688.8461538461534</v>
      </c>
      <c r="AL84" s="22">
        <f t="shared" si="274"/>
        <v>3516.6346153846152</v>
      </c>
      <c r="AM84" s="22">
        <f t="shared" si="274"/>
        <v>3516.6346153846152</v>
      </c>
      <c r="AN84" s="22">
        <f t="shared" si="275"/>
        <v>2131.2937062937062</v>
      </c>
      <c r="AO84" s="22">
        <f t="shared" si="276"/>
        <v>1318.7379807692307</v>
      </c>
      <c r="AP84" s="22">
        <f t="shared" si="277"/>
        <v>2637.4759615384614</v>
      </c>
      <c r="AQ84" s="22">
        <f t="shared" si="278"/>
        <v>1318.7379807692307</v>
      </c>
      <c r="AR84" s="22">
        <f t="shared" si="278"/>
        <v>1318.7379807692307</v>
      </c>
      <c r="AS84" s="23">
        <f t="shared" si="279"/>
        <v>2344.4230769230767</v>
      </c>
      <c r="AT84" s="15">
        <f>ROUND(G84/(AJ84/5),0)</f>
        <v>2</v>
      </c>
      <c r="AU84" s="16">
        <f t="shared" si="280"/>
        <v>1</v>
      </c>
      <c r="AV84" s="16">
        <f t="shared" si="281"/>
        <v>2</v>
      </c>
      <c r="AW84" s="16">
        <f t="shared" si="282"/>
        <v>2</v>
      </c>
      <c r="AX84" s="16">
        <f t="shared" si="283"/>
        <v>1</v>
      </c>
      <c r="AY84" s="16">
        <f t="shared" si="284"/>
        <v>5</v>
      </c>
      <c r="AZ84" s="16">
        <f t="shared" si="285"/>
        <v>4</v>
      </c>
      <c r="BA84" s="16">
        <f t="shared" si="286"/>
        <v>4</v>
      </c>
      <c r="BB84" s="16">
        <f t="shared" si="287"/>
        <v>0</v>
      </c>
      <c r="BC84" s="17">
        <f t="shared" si="288"/>
        <v>4</v>
      </c>
    </row>
    <row r="85" spans="1:55" ht="15" thickBot="1" x14ac:dyDescent="0.35">
      <c r="A85" s="211" t="s">
        <v>78</v>
      </c>
      <c r="B85" s="212">
        <v>5972</v>
      </c>
      <c r="C85" s="213">
        <v>5874</v>
      </c>
      <c r="D85" s="205" t="s">
        <v>99</v>
      </c>
      <c r="E85" s="49">
        <v>43861</v>
      </c>
      <c r="F85" s="62"/>
      <c r="G85" s="63">
        <v>1080</v>
      </c>
      <c r="H85" s="64"/>
      <c r="I85" s="65"/>
      <c r="J85" s="63">
        <v>440</v>
      </c>
      <c r="K85" s="66"/>
      <c r="L85" s="65"/>
      <c r="M85" s="63">
        <v>170</v>
      </c>
      <c r="N85" s="64"/>
      <c r="O85" s="65"/>
      <c r="P85" s="63">
        <v>248</v>
      </c>
      <c r="Q85" s="64"/>
      <c r="R85" s="65"/>
      <c r="S85" s="63">
        <v>242</v>
      </c>
      <c r="T85" s="64"/>
      <c r="U85" s="65"/>
      <c r="V85" s="63">
        <v>280</v>
      </c>
      <c r="W85" s="64"/>
      <c r="X85" s="65"/>
      <c r="Y85" s="63">
        <v>2820</v>
      </c>
      <c r="Z85" s="64"/>
      <c r="AA85" s="65"/>
      <c r="AB85" s="63">
        <v>330</v>
      </c>
      <c r="AC85" s="64"/>
      <c r="AD85" s="65"/>
      <c r="AE85" s="63">
        <v>0</v>
      </c>
      <c r="AF85" s="64"/>
      <c r="AG85" s="65"/>
      <c r="AH85" s="63">
        <v>1140</v>
      </c>
      <c r="AI85" s="64"/>
      <c r="AJ85" s="22">
        <f t="shared" si="289"/>
        <v>726.18131868131866</v>
      </c>
      <c r="AK85" s="22">
        <f t="shared" si="273"/>
        <v>2259.2307692307695</v>
      </c>
      <c r="AL85" s="22">
        <f t="shared" si="274"/>
        <v>1694.4230769230774</v>
      </c>
      <c r="AM85" s="22">
        <f t="shared" si="274"/>
        <v>1694.4230769230774</v>
      </c>
      <c r="AN85" s="22">
        <f t="shared" si="275"/>
        <v>1026.9230769230771</v>
      </c>
      <c r="AO85" s="22">
        <f t="shared" si="276"/>
        <v>635.40865384615381</v>
      </c>
      <c r="AP85" s="22">
        <f t="shared" si="277"/>
        <v>1270.8173076923076</v>
      </c>
      <c r="AQ85" s="22">
        <f t="shared" si="278"/>
        <v>635.40865384615381</v>
      </c>
      <c r="AR85" s="22">
        <f t="shared" si="278"/>
        <v>635.40865384615381</v>
      </c>
      <c r="AS85" s="23">
        <f t="shared" si="279"/>
        <v>1129.6153846153848</v>
      </c>
      <c r="AT85" s="15">
        <f>ROUND(G85/(AJ85/5),0)</f>
        <v>7</v>
      </c>
      <c r="AU85" s="16">
        <f t="shared" si="280"/>
        <v>1</v>
      </c>
      <c r="AV85" s="16">
        <f t="shared" si="281"/>
        <v>1</v>
      </c>
      <c r="AW85" s="16">
        <f t="shared" si="282"/>
        <v>1</v>
      </c>
      <c r="AX85" s="16">
        <f t="shared" si="283"/>
        <v>1</v>
      </c>
      <c r="AY85" s="16">
        <f t="shared" si="284"/>
        <v>2</v>
      </c>
      <c r="AZ85" s="16">
        <f t="shared" si="285"/>
        <v>11</v>
      </c>
      <c r="BA85" s="16">
        <f t="shared" si="286"/>
        <v>3</v>
      </c>
      <c r="BB85" s="16">
        <f t="shared" si="287"/>
        <v>0</v>
      </c>
      <c r="BC85" s="17">
        <f t="shared" si="288"/>
        <v>5</v>
      </c>
    </row>
    <row r="86" spans="1:55" x14ac:dyDescent="0.3">
      <c r="C86" s="2"/>
      <c r="D86" s="2"/>
      <c r="E86" s="3"/>
      <c r="F86" s="3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T86" t="s">
        <v>2</v>
      </c>
      <c r="AU86" t="s">
        <v>80</v>
      </c>
      <c r="AV86" t="s">
        <v>81</v>
      </c>
      <c r="AW86" t="s">
        <v>5</v>
      </c>
      <c r="AX86" t="s">
        <v>82</v>
      </c>
      <c r="AY86" t="s">
        <v>7</v>
      </c>
      <c r="AZ86" t="s">
        <v>8</v>
      </c>
      <c r="BA86" t="s">
        <v>9</v>
      </c>
      <c r="BB86" t="s">
        <v>10</v>
      </c>
      <c r="BC86" t="s">
        <v>11</v>
      </c>
    </row>
    <row r="87" spans="1:55" x14ac:dyDescent="0.3">
      <c r="C87" s="2"/>
      <c r="D87" s="2"/>
      <c r="E87" s="3"/>
      <c r="F87" s="3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</row>
    <row r="88" spans="1:55" x14ac:dyDescent="0.3">
      <c r="A88" s="27"/>
      <c r="B88" s="27"/>
      <c r="D88" s="81" t="s">
        <v>117</v>
      </c>
      <c r="AQ88" s="24"/>
      <c r="AR88" s="35"/>
      <c r="AS88" s="35"/>
      <c r="AT88" s="35"/>
      <c r="AU88" s="35"/>
      <c r="AV88" s="35"/>
      <c r="AW88" s="35"/>
      <c r="AX88" s="35"/>
      <c r="AY88" s="35"/>
      <c r="AZ88" s="35"/>
      <c r="BA88" s="35"/>
      <c r="BB88" s="35"/>
      <c r="BC88" s="35"/>
    </row>
    <row r="89" spans="1:55" x14ac:dyDescent="0.3">
      <c r="A89" s="27"/>
      <c r="B89" s="27"/>
      <c r="D89" s="82"/>
      <c r="E89" s="80" t="s">
        <v>113</v>
      </c>
      <c r="F89" s="80"/>
      <c r="G89" s="80"/>
      <c r="H89" s="80"/>
      <c r="I89" s="80"/>
      <c r="J89" s="80"/>
      <c r="K89" s="80"/>
      <c r="L89" s="80"/>
      <c r="M89" s="80"/>
      <c r="N89" s="80"/>
      <c r="AQ89" s="24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</row>
    <row r="90" spans="1:55" x14ac:dyDescent="0.3">
      <c r="A90" s="27"/>
      <c r="B90" s="27"/>
      <c r="D90" s="80"/>
      <c r="E90" s="80" t="s">
        <v>114</v>
      </c>
      <c r="F90" s="80"/>
      <c r="G90" s="80"/>
      <c r="H90" s="80"/>
      <c r="I90" s="80"/>
      <c r="J90" s="80"/>
      <c r="K90" s="80"/>
      <c r="L90" s="80"/>
      <c r="M90" s="80"/>
      <c r="N90" s="80"/>
      <c r="AQ90" s="24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</row>
    <row r="91" spans="1:55" x14ac:dyDescent="0.3">
      <c r="A91" s="27"/>
      <c r="B91" s="27"/>
      <c r="D91" s="80"/>
      <c r="E91" s="80" t="s">
        <v>106</v>
      </c>
      <c r="F91" s="80"/>
      <c r="G91" s="80"/>
      <c r="H91" s="80"/>
      <c r="I91" s="80"/>
      <c r="J91" s="80"/>
      <c r="K91" s="80"/>
      <c r="L91" s="80"/>
      <c r="M91" s="80"/>
      <c r="N91" s="80"/>
      <c r="AQ91" s="24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</row>
    <row r="92" spans="1:55" x14ac:dyDescent="0.3">
      <c r="A92" s="27"/>
      <c r="B92" s="27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AQ92" s="24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</row>
    <row r="93" spans="1:55" x14ac:dyDescent="0.3">
      <c r="A93" s="27"/>
      <c r="B93" s="27"/>
      <c r="D93" s="80"/>
      <c r="E93" s="80" t="s">
        <v>115</v>
      </c>
      <c r="F93" s="80"/>
      <c r="G93" s="80"/>
      <c r="H93" s="80"/>
      <c r="I93" s="80"/>
      <c r="J93" s="80"/>
      <c r="K93" s="80"/>
      <c r="L93" s="80"/>
      <c r="M93" s="80"/>
      <c r="N93" s="80"/>
      <c r="AQ93" s="24"/>
      <c r="AR93" s="35"/>
      <c r="AS93" s="35"/>
      <c r="AT93" s="35"/>
      <c r="AU93" s="35"/>
      <c r="AV93" s="35"/>
      <c r="AW93" s="35"/>
      <c r="AX93" s="35"/>
      <c r="AY93" s="35"/>
      <c r="AZ93" s="35"/>
      <c r="BA93" s="35"/>
      <c r="BB93" s="35"/>
      <c r="BC93" s="35"/>
    </row>
    <row r="94" spans="1:55" x14ac:dyDescent="0.3">
      <c r="A94" s="27"/>
      <c r="B94" s="27"/>
      <c r="D94" s="80"/>
      <c r="E94" s="80" t="s">
        <v>116</v>
      </c>
      <c r="F94" s="80"/>
      <c r="G94" s="80"/>
      <c r="H94" s="80"/>
      <c r="I94" s="80"/>
      <c r="J94" s="80"/>
      <c r="K94" s="80"/>
      <c r="L94" s="80"/>
      <c r="M94" s="80"/>
      <c r="N94" s="80"/>
      <c r="AQ94" s="24"/>
      <c r="AR94" s="35"/>
      <c r="AS94" s="35"/>
      <c r="AT94" s="35"/>
      <c r="AU94" s="35"/>
      <c r="AV94" s="35"/>
      <c r="AW94" s="35"/>
      <c r="AX94" s="35"/>
      <c r="AY94" s="35"/>
      <c r="AZ94" s="35"/>
      <c r="BA94" s="35"/>
      <c r="BB94" s="35"/>
      <c r="BC94" s="35"/>
    </row>
    <row r="95" spans="1:55" x14ac:dyDescent="0.3">
      <c r="A95" s="27"/>
      <c r="B95" s="27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AQ95" s="24"/>
      <c r="AR95" s="35"/>
      <c r="AS95" s="35"/>
      <c r="AT95" s="35"/>
      <c r="AU95" s="35"/>
      <c r="AV95" s="35"/>
      <c r="AW95" s="35"/>
      <c r="AX95" s="35"/>
      <c r="AY95" s="35"/>
      <c r="AZ95" s="35"/>
      <c r="BA95" s="35"/>
      <c r="BB95" s="35"/>
      <c r="BC95" s="35"/>
    </row>
    <row r="96" spans="1:55" x14ac:dyDescent="0.3">
      <c r="A96" s="27"/>
      <c r="B96" s="27"/>
      <c r="D96" s="80"/>
      <c r="E96" s="80" t="s">
        <v>107</v>
      </c>
      <c r="F96" s="80"/>
      <c r="G96" s="80"/>
      <c r="H96" s="80"/>
      <c r="I96" s="80"/>
      <c r="J96" s="80"/>
      <c r="K96" s="80"/>
      <c r="L96" s="80"/>
      <c r="M96" s="80"/>
      <c r="N96" s="80"/>
      <c r="AQ96" s="24"/>
      <c r="AR96" s="35"/>
      <c r="AS96" s="35"/>
      <c r="AT96" s="35"/>
      <c r="AU96" s="35"/>
      <c r="AV96" s="35"/>
      <c r="AW96" s="35"/>
      <c r="AX96" s="35"/>
      <c r="AY96" s="35"/>
      <c r="AZ96" s="35"/>
      <c r="BA96" s="35"/>
      <c r="BB96" s="35"/>
      <c r="BC96" s="35"/>
    </row>
    <row r="97" spans="1:55" x14ac:dyDescent="0.3">
      <c r="A97" s="27"/>
      <c r="B97" s="27"/>
      <c r="D97" s="80"/>
      <c r="E97" s="80" t="s">
        <v>108</v>
      </c>
      <c r="F97" s="80"/>
      <c r="G97" s="80"/>
      <c r="H97" s="80"/>
      <c r="I97" s="80"/>
      <c r="J97" s="80"/>
      <c r="K97" s="80"/>
      <c r="L97" s="80"/>
      <c r="M97" s="80"/>
      <c r="N97" s="80"/>
      <c r="AQ97" s="24"/>
      <c r="AR97" s="35"/>
      <c r="AS97" s="35"/>
      <c r="AT97" s="35"/>
      <c r="AU97" s="35"/>
      <c r="AV97" s="35"/>
      <c r="AW97" s="35"/>
      <c r="AX97" s="35"/>
      <c r="AY97" s="35"/>
      <c r="AZ97" s="35"/>
      <c r="BA97" s="35"/>
      <c r="BB97" s="35"/>
      <c r="BC97" s="35"/>
    </row>
    <row r="98" spans="1:55" x14ac:dyDescent="0.3">
      <c r="A98" s="27"/>
      <c r="B98" s="27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AQ98" s="24"/>
      <c r="AR98" s="35"/>
      <c r="AS98" s="35"/>
      <c r="AT98" s="35"/>
      <c r="AU98" s="35"/>
      <c r="AV98" s="35"/>
      <c r="AW98" s="35"/>
      <c r="AX98" s="35"/>
      <c r="AY98" s="35"/>
      <c r="AZ98" s="35"/>
      <c r="BA98" s="35"/>
      <c r="BB98" s="35"/>
      <c r="BC98" s="35"/>
    </row>
    <row r="99" spans="1:55" x14ac:dyDescent="0.3">
      <c r="A99" s="27"/>
      <c r="B99" s="27"/>
      <c r="D99" s="80"/>
      <c r="E99" s="80" t="s">
        <v>109</v>
      </c>
      <c r="F99" s="80"/>
      <c r="G99" s="80"/>
      <c r="H99" s="80"/>
      <c r="I99" s="80"/>
      <c r="J99" s="80"/>
      <c r="K99" s="80"/>
      <c r="L99" s="80"/>
      <c r="M99" s="80"/>
      <c r="N99" s="80"/>
      <c r="AQ99" s="24"/>
      <c r="AR99" s="35"/>
      <c r="AS99" s="35"/>
      <c r="AT99" s="35"/>
      <c r="AU99" s="35"/>
      <c r="AV99" s="35"/>
      <c r="AW99" s="35"/>
      <c r="AX99" s="35"/>
      <c r="AY99" s="35"/>
      <c r="AZ99" s="35"/>
      <c r="BA99" s="35"/>
      <c r="BB99" s="35"/>
      <c r="BC99" s="35"/>
    </row>
    <row r="100" spans="1:55" x14ac:dyDescent="0.3">
      <c r="A100" s="27"/>
      <c r="B100" s="27"/>
      <c r="D100" s="80"/>
      <c r="E100" s="80" t="s">
        <v>110</v>
      </c>
      <c r="F100" s="80"/>
      <c r="G100" s="80"/>
      <c r="H100" s="80"/>
      <c r="I100" s="80"/>
      <c r="J100" s="80"/>
      <c r="K100" s="80"/>
      <c r="L100" s="80"/>
      <c r="M100" s="80"/>
      <c r="N100" s="80"/>
      <c r="AQ100" s="24"/>
      <c r="AR100" s="35"/>
      <c r="AS100" s="35"/>
      <c r="AT100" s="35"/>
      <c r="AU100" s="35"/>
      <c r="AV100" s="35"/>
      <c r="AW100" s="35"/>
      <c r="AX100" s="35"/>
      <c r="AY100" s="35"/>
      <c r="AZ100" s="35"/>
      <c r="BA100" s="35"/>
      <c r="BB100" s="35"/>
      <c r="BC100" s="35"/>
    </row>
    <row r="101" spans="1:55" x14ac:dyDescent="0.3">
      <c r="A101" s="27"/>
      <c r="B101" s="27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AQ101" s="24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  <c r="BC101" s="35"/>
    </row>
    <row r="102" spans="1:55" x14ac:dyDescent="0.3">
      <c r="A102" s="26"/>
      <c r="B102" s="26"/>
      <c r="D102" s="80"/>
      <c r="E102" s="80" t="s">
        <v>111</v>
      </c>
      <c r="F102" s="80"/>
      <c r="G102" s="80"/>
      <c r="H102" s="80"/>
      <c r="I102" s="80"/>
      <c r="J102" s="80"/>
      <c r="K102" s="80"/>
      <c r="L102" s="80"/>
      <c r="M102" s="80"/>
      <c r="N102" s="80"/>
      <c r="AQ102" s="24"/>
      <c r="AR102" s="34"/>
      <c r="AS102" s="35"/>
      <c r="AT102" s="35"/>
      <c r="AU102" s="35"/>
      <c r="AV102" s="35"/>
      <c r="AW102" s="35"/>
      <c r="AX102" s="35"/>
      <c r="AY102" s="35"/>
      <c r="AZ102" s="35"/>
      <c r="BA102" s="35"/>
      <c r="BB102" s="35"/>
      <c r="BC102" s="35"/>
    </row>
    <row r="103" spans="1:55" x14ac:dyDescent="0.3">
      <c r="A103" s="27"/>
      <c r="B103" s="27"/>
      <c r="D103" s="80"/>
      <c r="E103" s="80" t="s">
        <v>112</v>
      </c>
      <c r="F103" s="80"/>
      <c r="G103" s="80"/>
      <c r="H103" s="80"/>
      <c r="I103" s="80"/>
      <c r="J103" s="80"/>
      <c r="K103" s="80"/>
      <c r="L103" s="80"/>
      <c r="M103" s="80"/>
      <c r="N103" s="80"/>
      <c r="AQ103" s="24"/>
      <c r="AR103" s="35"/>
      <c r="AS103" s="35"/>
      <c r="AT103" s="35"/>
      <c r="AU103" s="35"/>
      <c r="AV103" s="35"/>
      <c r="AW103" s="35"/>
      <c r="AX103" s="35"/>
      <c r="AY103" s="35"/>
      <c r="AZ103" s="35"/>
      <c r="BA103" s="35"/>
      <c r="BB103" s="35"/>
      <c r="BC103" s="35"/>
    </row>
    <row r="104" spans="1:55" x14ac:dyDescent="0.3">
      <c r="A104" s="27"/>
      <c r="B104" s="27"/>
      <c r="AR104" s="35"/>
      <c r="AS104" s="35"/>
      <c r="AT104" s="35"/>
      <c r="AU104" s="35"/>
      <c r="AV104" s="35"/>
      <c r="AW104" s="35"/>
      <c r="AX104" s="35"/>
      <c r="AY104" s="35"/>
      <c r="AZ104" s="35"/>
      <c r="BA104" s="35"/>
      <c r="BB104" s="35"/>
      <c r="BC104" s="35"/>
    </row>
    <row r="106" spans="1:55" x14ac:dyDescent="0.3">
      <c r="D106" s="81" t="s">
        <v>118</v>
      </c>
      <c r="E106" s="24"/>
      <c r="G106" s="24"/>
      <c r="J106" s="24"/>
      <c r="M106" s="24"/>
    </row>
    <row r="107" spans="1:55" x14ac:dyDescent="0.3">
      <c r="D107" s="82"/>
      <c r="E107" s="80" t="s">
        <v>119</v>
      </c>
      <c r="F107" s="80"/>
      <c r="G107" s="80"/>
      <c r="H107" s="80"/>
      <c r="I107" s="80"/>
      <c r="J107" s="80"/>
      <c r="K107" s="80"/>
      <c r="L107" s="80"/>
      <c r="M107" s="80"/>
      <c r="N107" s="80"/>
    </row>
    <row r="108" spans="1:55" x14ac:dyDescent="0.3">
      <c r="D108" s="80"/>
      <c r="E108" s="80" t="s">
        <v>122</v>
      </c>
      <c r="F108" s="80"/>
      <c r="G108" s="80"/>
      <c r="H108" s="80"/>
      <c r="I108" s="80"/>
      <c r="J108" s="80"/>
      <c r="K108" s="80"/>
      <c r="L108" s="80"/>
      <c r="M108" s="80"/>
      <c r="N108" s="80"/>
    </row>
    <row r="109" spans="1:55" x14ac:dyDescent="0.3"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</row>
    <row r="110" spans="1:55" x14ac:dyDescent="0.3">
      <c r="E110" t="s">
        <v>121</v>
      </c>
    </row>
    <row r="111" spans="1:55" x14ac:dyDescent="0.3">
      <c r="E111" t="s">
        <v>120</v>
      </c>
    </row>
    <row r="112" spans="1:55" x14ac:dyDescent="0.3">
      <c r="E112" t="s">
        <v>123</v>
      </c>
    </row>
    <row r="114" spans="2:16" x14ac:dyDescent="0.3">
      <c r="D114" s="81" t="s">
        <v>124</v>
      </c>
      <c r="E114" s="24"/>
      <c r="G114" s="24"/>
      <c r="J114" s="24"/>
      <c r="M114" s="24"/>
      <c r="P114" s="24"/>
    </row>
    <row r="115" spans="2:16" x14ac:dyDescent="0.3">
      <c r="D115" s="82"/>
      <c r="E115" s="80" t="s">
        <v>125</v>
      </c>
      <c r="F115" s="80"/>
      <c r="G115" s="80"/>
      <c r="H115" s="80"/>
      <c r="I115" s="80"/>
      <c r="J115" s="80"/>
      <c r="K115" s="80"/>
      <c r="L115" s="80"/>
      <c r="M115" s="80"/>
      <c r="N115" s="80"/>
      <c r="P115" s="24"/>
    </row>
    <row r="116" spans="2:16" x14ac:dyDescent="0.3">
      <c r="D116" s="80"/>
      <c r="E116" s="80" t="s">
        <v>126</v>
      </c>
      <c r="F116" s="80"/>
      <c r="G116" s="80"/>
      <c r="H116" s="80"/>
      <c r="I116" s="80"/>
      <c r="J116" s="80"/>
      <c r="K116" s="80"/>
      <c r="L116" s="80"/>
      <c r="M116" s="80"/>
      <c r="N116" s="80"/>
      <c r="P116" s="24"/>
    </row>
    <row r="117" spans="2:16" x14ac:dyDescent="0.3"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P117" s="24"/>
    </row>
    <row r="118" spans="2:16" x14ac:dyDescent="0.3">
      <c r="E118" s="24" t="s">
        <v>127</v>
      </c>
      <c r="G118" s="24"/>
      <c r="J118" s="24"/>
      <c r="M118" s="24"/>
      <c r="P118" s="24"/>
    </row>
    <row r="119" spans="2:16" x14ac:dyDescent="0.3">
      <c r="E119" s="24" t="s">
        <v>128</v>
      </c>
      <c r="G119" s="24"/>
      <c r="J119" s="24"/>
      <c r="M119" s="24"/>
      <c r="P119" s="24"/>
    </row>
    <row r="120" spans="2:16" x14ac:dyDescent="0.3">
      <c r="E120" s="24" t="s">
        <v>129</v>
      </c>
      <c r="G120" s="24"/>
      <c r="J120" s="24"/>
      <c r="M120" s="24"/>
      <c r="P120" s="24"/>
    </row>
    <row r="121" spans="2:16" x14ac:dyDescent="0.3">
      <c r="E121" t="s">
        <v>130</v>
      </c>
    </row>
    <row r="122" spans="2:16" x14ac:dyDescent="0.3">
      <c r="E122" t="s">
        <v>131</v>
      </c>
    </row>
    <row r="125" spans="2:16" x14ac:dyDescent="0.3">
      <c r="D125" s="81" t="s">
        <v>132</v>
      </c>
      <c r="E125" s="24"/>
      <c r="G125" s="24"/>
      <c r="J125" s="24"/>
      <c r="M125" s="24"/>
    </row>
    <row r="126" spans="2:16" x14ac:dyDescent="0.3">
      <c r="D126" s="82"/>
      <c r="E126" s="80" t="s">
        <v>133</v>
      </c>
      <c r="F126" s="80"/>
      <c r="G126" s="80"/>
      <c r="H126" s="80"/>
      <c r="I126" s="80"/>
      <c r="J126" s="80"/>
      <c r="K126" s="80"/>
      <c r="L126" s="80"/>
      <c r="M126" s="80"/>
      <c r="N126" s="80"/>
    </row>
    <row r="127" spans="2:16" x14ac:dyDescent="0.3">
      <c r="D127" s="80"/>
      <c r="E127" s="80" t="s">
        <v>134</v>
      </c>
      <c r="F127" s="80"/>
      <c r="G127" s="80"/>
      <c r="H127" s="80"/>
      <c r="I127" s="80"/>
      <c r="J127" s="80"/>
      <c r="K127" s="80"/>
      <c r="L127" s="80"/>
      <c r="M127" s="80"/>
      <c r="N127" s="80"/>
    </row>
    <row r="128" spans="2:16" s="24" customFormat="1" x14ac:dyDescent="0.3">
      <c r="B128" s="183"/>
      <c r="D128" s="80"/>
      <c r="E128" s="80" t="s">
        <v>135</v>
      </c>
      <c r="F128" s="80"/>
      <c r="G128" s="80"/>
      <c r="H128" s="80"/>
      <c r="I128" s="80"/>
      <c r="J128" s="80"/>
      <c r="K128" s="80"/>
      <c r="L128" s="80"/>
      <c r="M128" s="80"/>
      <c r="N128" s="80"/>
    </row>
    <row r="129" spans="2:14" x14ac:dyDescent="0.3"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</row>
    <row r="130" spans="2:14" x14ac:dyDescent="0.3">
      <c r="E130" s="24" t="s">
        <v>136</v>
      </c>
      <c r="G130" s="24"/>
      <c r="J130" s="24"/>
      <c r="M130" s="24"/>
    </row>
    <row r="131" spans="2:14" x14ac:dyDescent="0.3">
      <c r="E131" s="24" t="s">
        <v>128</v>
      </c>
      <c r="G131" s="24"/>
      <c r="J131" s="24"/>
      <c r="M131" s="24"/>
    </row>
    <row r="132" spans="2:14" x14ac:dyDescent="0.3">
      <c r="E132" s="24" t="s">
        <v>137</v>
      </c>
      <c r="G132" s="24"/>
      <c r="J132" s="24"/>
      <c r="M132" s="24"/>
    </row>
    <row r="133" spans="2:14" s="24" customFormat="1" x14ac:dyDescent="0.3">
      <c r="B133" s="183"/>
      <c r="E133" s="24" t="s">
        <v>138</v>
      </c>
    </row>
    <row r="134" spans="2:14" x14ac:dyDescent="0.3">
      <c r="E134" s="24" t="s">
        <v>139</v>
      </c>
      <c r="G134" s="24"/>
      <c r="J134" s="24"/>
      <c r="M134" s="24"/>
    </row>
    <row r="135" spans="2:14" x14ac:dyDescent="0.3">
      <c r="E135" s="24"/>
      <c r="G135" s="24"/>
      <c r="J135" s="24"/>
      <c r="M135" s="24"/>
    </row>
  </sheetData>
  <mergeCells count="16">
    <mergeCell ref="F3:AH3"/>
    <mergeCell ref="A1:AH1"/>
    <mergeCell ref="AJ3:AS3"/>
    <mergeCell ref="A4:A5"/>
    <mergeCell ref="AT3:BC3"/>
    <mergeCell ref="D4:E4"/>
    <mergeCell ref="F4:H4"/>
    <mergeCell ref="I4:K4"/>
    <mergeCell ref="L4:N4"/>
    <mergeCell ref="R4:T4"/>
    <mergeCell ref="U4:W4"/>
    <mergeCell ref="X4:Z4"/>
    <mergeCell ref="AA4:AC4"/>
    <mergeCell ref="AD4:AF4"/>
    <mergeCell ref="AG4:AI4"/>
    <mergeCell ref="O4:Q4"/>
  </mergeCells>
  <conditionalFormatting sqref="AT6:BC6 AT14:BC14 AT21:BC21 AT30:BC30 AT40:BC40 AT54:BC54 AT68:BC68 AT80:BC80">
    <cfRule type="cellIs" dxfId="119" priority="5" operator="lessThanOrEqual">
      <formula>3</formula>
    </cfRule>
    <cfRule type="cellIs" dxfId="118" priority="6" operator="between">
      <formula>3.01</formula>
      <formula>5</formula>
    </cfRule>
    <cfRule type="cellIs" dxfId="117" priority="7" operator="between">
      <formula>5.01</formula>
      <formula>15</formula>
    </cfRule>
    <cfRule type="cellIs" dxfId="116" priority="8" operator="greaterThan">
      <formula>15</formula>
    </cfRule>
  </conditionalFormatting>
  <conditionalFormatting sqref="AT7:BC13 AT15:BC20 AT22:BC29 AT31:BC39 AT41:BC53 AT55:BC67 AT69:BC79 AT81:BC85">
    <cfRule type="cellIs" dxfId="115" priority="1" operator="lessThanOrEqual">
      <formula>1</formula>
    </cfRule>
    <cfRule type="cellIs" dxfId="114" priority="2" operator="between">
      <formula>1.01</formula>
      <formula>2</formula>
    </cfRule>
    <cfRule type="cellIs" dxfId="113" priority="3" operator="between">
      <formula>2.01</formula>
      <formula>5</formula>
    </cfRule>
    <cfRule type="cellIs" dxfId="112" priority="4" operator="greaterThan">
      <formula>5</formula>
    </cfRule>
  </conditionalFormatting>
  <dataValidations disablePrompts="1" xWindow="1033" yWindow="243" count="1">
    <dataValidation type="decimal" allowBlank="1" showInputMessage="1" showErrorMessage="1" promptTitle="Coverage:" prompt="Indicate the targeted immunization coverage for the current year." sqref="AJ5:AS5" xr:uid="{00000000-0002-0000-0000-000000000000}">
      <formula1>0</formula1>
      <formula2>1</formula2>
    </dataValidation>
  </dataValidations>
  <pageMargins left="0.7" right="0.7" top="0.75" bottom="0.75" header="0.3" footer="0.3"/>
  <pageSetup paperSize="9" orientation="portrait" r:id="rId1"/>
  <ignoredErrors>
    <ignoredError sqref="AP7:AP9 AP81:AP83 AP69:AP71 AP55:AP57 AP41:AP43 AP31:AP33 AP22:AP24 AP15:AP17" formula="1"/>
  </ignoredError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A87"/>
  <sheetViews>
    <sheetView zoomScale="92" zoomScaleNormal="92" workbookViewId="0">
      <pane xSplit="1" ySplit="5" topLeftCell="C6" activePane="bottomRight" state="frozen"/>
      <selection pane="topRight" activeCell="B1" sqref="B1"/>
      <selection pane="bottomLeft" activeCell="A6" sqref="A6"/>
      <selection pane="bottomRight" activeCell="I13" sqref="I13"/>
    </sheetView>
  </sheetViews>
  <sheetFormatPr defaultColWidth="11.5546875" defaultRowHeight="14.4" x14ac:dyDescent="0.3"/>
  <cols>
    <col min="1" max="1" width="19.5546875" style="183" bestFit="1" customWidth="1"/>
    <col min="2" max="2" width="13.5546875" style="183" customWidth="1"/>
    <col min="3" max="3" width="16.5546875" style="183" customWidth="1"/>
    <col min="4" max="4" width="11.109375" style="183" customWidth="1"/>
    <col min="5" max="5" width="12.33203125" style="183" customWidth="1"/>
    <col min="6" max="7" width="12.5546875" style="183" customWidth="1"/>
    <col min="8" max="8" width="14.109375" style="183" customWidth="1"/>
    <col min="9" max="9" width="12.5546875" style="183" customWidth="1"/>
    <col min="10" max="10" width="13.88671875" style="183" customWidth="1"/>
    <col min="11" max="11" width="16" style="183" customWidth="1"/>
    <col min="12" max="12" width="9.88671875" style="183" customWidth="1"/>
    <col min="13" max="13" width="11.6640625" style="183" customWidth="1"/>
    <col min="14" max="14" width="8.44140625" style="183" customWidth="1"/>
    <col min="15" max="15" width="11.88671875" style="183" customWidth="1"/>
    <col min="16" max="16" width="10.33203125" style="183" customWidth="1"/>
    <col min="17" max="17" width="8.44140625" style="183" customWidth="1"/>
    <col min="18" max="18" width="13.44140625" style="183" customWidth="1"/>
    <col min="19" max="19" width="10.44140625" style="183" customWidth="1"/>
    <col min="20" max="20" width="7.44140625" style="183" customWidth="1"/>
    <col min="21" max="21" width="13.44140625" style="183" customWidth="1"/>
    <col min="22" max="22" width="9.5546875" style="183" customWidth="1"/>
    <col min="23" max="23" width="8.44140625" style="183" customWidth="1"/>
    <col min="24" max="24" width="12.6640625" style="183" customWidth="1"/>
    <col min="25" max="25" width="9.5546875" style="183" customWidth="1"/>
    <col min="26" max="26" width="9.44140625" style="183" customWidth="1"/>
    <col min="27" max="27" width="10" style="183" customWidth="1"/>
    <col min="28" max="28" width="9.6640625" style="183" customWidth="1"/>
    <col min="29" max="29" width="10.6640625" style="183" customWidth="1"/>
    <col min="30" max="30" width="12.33203125" style="183" customWidth="1"/>
    <col min="31" max="31" width="10" style="183" customWidth="1"/>
    <col min="32" max="32" width="10.33203125" style="183" customWidth="1"/>
    <col min="33" max="33" width="14" style="183" customWidth="1"/>
    <col min="34" max="43" width="11.6640625" style="183" customWidth="1"/>
    <col min="44" max="53" width="15.109375" style="183" customWidth="1"/>
    <col min="54" max="16384" width="11.5546875" style="183"/>
  </cols>
  <sheetData>
    <row r="1" spans="1:53" ht="18" x14ac:dyDescent="0.35">
      <c r="A1" s="414" t="s">
        <v>0</v>
      </c>
      <c r="B1" s="414"/>
      <c r="C1" s="414"/>
      <c r="D1" s="414"/>
      <c r="E1" s="414"/>
      <c r="F1" s="414"/>
      <c r="G1" s="414"/>
      <c r="H1" s="414"/>
      <c r="I1" s="414"/>
      <c r="J1" s="414"/>
      <c r="K1" s="414"/>
      <c r="L1" s="414"/>
      <c r="M1" s="414"/>
      <c r="N1" s="414"/>
      <c r="O1" s="414"/>
      <c r="P1" s="414"/>
      <c r="Q1" s="414"/>
      <c r="R1" s="414"/>
      <c r="S1" s="414"/>
      <c r="T1" s="414"/>
      <c r="U1" s="414"/>
      <c r="V1" s="414"/>
      <c r="W1" s="414"/>
      <c r="X1" s="414"/>
      <c r="Y1" s="414"/>
      <c r="Z1" s="414"/>
      <c r="AA1" s="414"/>
      <c r="AB1" s="414"/>
      <c r="AC1" s="414"/>
      <c r="AD1" s="414"/>
      <c r="AE1" s="414"/>
      <c r="AF1" s="414"/>
      <c r="AG1" s="195"/>
    </row>
    <row r="2" spans="1:53" ht="18" x14ac:dyDescent="0.35">
      <c r="A2" s="195"/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5"/>
      <c r="Y2" s="195"/>
      <c r="Z2" s="195"/>
      <c r="AA2" s="195"/>
      <c r="AB2" s="195"/>
      <c r="AC2" s="195"/>
      <c r="AD2" s="195"/>
      <c r="AE2" s="195"/>
      <c r="AF2" s="9"/>
      <c r="AG2" s="9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0"/>
    </row>
    <row r="3" spans="1:53" ht="16.2" thickBot="1" x14ac:dyDescent="0.35">
      <c r="D3" s="413" t="s">
        <v>98</v>
      </c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  <c r="R3" s="413"/>
      <c r="S3" s="413"/>
      <c r="T3" s="413"/>
      <c r="U3" s="413"/>
      <c r="V3" s="413"/>
      <c r="W3" s="413"/>
      <c r="X3" s="413"/>
      <c r="Y3" s="413"/>
      <c r="Z3" s="413"/>
      <c r="AA3" s="413"/>
      <c r="AB3" s="413"/>
      <c r="AC3" s="413"/>
      <c r="AD3" s="413"/>
      <c r="AE3" s="413"/>
      <c r="AF3" s="413"/>
      <c r="AG3" s="196"/>
      <c r="AH3" s="449" t="s">
        <v>12</v>
      </c>
      <c r="AI3" s="449"/>
      <c r="AJ3" s="449"/>
      <c r="AK3" s="449"/>
      <c r="AL3" s="449"/>
      <c r="AM3" s="449"/>
      <c r="AN3" s="449"/>
      <c r="AO3" s="449"/>
      <c r="AP3" s="449"/>
      <c r="AQ3" s="449"/>
      <c r="AR3" s="417" t="s">
        <v>13</v>
      </c>
      <c r="AS3" s="417"/>
      <c r="AT3" s="417"/>
      <c r="AU3" s="417"/>
      <c r="AV3" s="417"/>
      <c r="AW3" s="417"/>
      <c r="AX3" s="417"/>
      <c r="AY3" s="417"/>
      <c r="AZ3" s="417"/>
      <c r="BA3" s="417"/>
    </row>
    <row r="4" spans="1:53" ht="16.2" thickBot="1" x14ac:dyDescent="0.35">
      <c r="A4" s="450" t="s">
        <v>1</v>
      </c>
      <c r="B4" s="452" t="s">
        <v>92</v>
      </c>
      <c r="C4" s="453"/>
      <c r="D4" s="420" t="s">
        <v>2</v>
      </c>
      <c r="E4" s="420"/>
      <c r="F4" s="421"/>
      <c r="G4" s="422" t="s">
        <v>3</v>
      </c>
      <c r="H4" s="423"/>
      <c r="I4" s="424"/>
      <c r="J4" s="425" t="s">
        <v>4</v>
      </c>
      <c r="K4" s="426"/>
      <c r="L4" s="427"/>
      <c r="M4" s="446" t="s">
        <v>5</v>
      </c>
      <c r="N4" s="447"/>
      <c r="O4" s="448"/>
      <c r="P4" s="428" t="s">
        <v>6</v>
      </c>
      <c r="Q4" s="429"/>
      <c r="R4" s="430"/>
      <c r="S4" s="431" t="s">
        <v>7</v>
      </c>
      <c r="T4" s="432"/>
      <c r="U4" s="433"/>
      <c r="V4" s="434" t="s">
        <v>8</v>
      </c>
      <c r="W4" s="435"/>
      <c r="X4" s="436"/>
      <c r="Y4" s="437" t="s">
        <v>9</v>
      </c>
      <c r="Z4" s="438"/>
      <c r="AA4" s="439"/>
      <c r="AB4" s="440" t="s">
        <v>10</v>
      </c>
      <c r="AC4" s="441"/>
      <c r="AD4" s="442"/>
      <c r="AE4" s="443" t="s">
        <v>11</v>
      </c>
      <c r="AF4" s="444"/>
      <c r="AG4" s="444"/>
      <c r="AH4" s="206" t="s">
        <v>2</v>
      </c>
      <c r="AI4" s="206" t="s">
        <v>3</v>
      </c>
      <c r="AJ4" s="206" t="s">
        <v>4</v>
      </c>
      <c r="AK4" s="206" t="s">
        <v>5</v>
      </c>
      <c r="AL4" s="206" t="s">
        <v>6</v>
      </c>
      <c r="AM4" s="206" t="s">
        <v>7</v>
      </c>
      <c r="AN4" s="206" t="s">
        <v>8</v>
      </c>
      <c r="AO4" s="206" t="s">
        <v>9</v>
      </c>
      <c r="AP4" s="206" t="s">
        <v>10</v>
      </c>
      <c r="AQ4" s="206" t="s">
        <v>11</v>
      </c>
      <c r="AR4" s="186" t="s">
        <v>2</v>
      </c>
      <c r="AS4" s="186" t="s">
        <v>3</v>
      </c>
      <c r="AT4" s="186" t="s">
        <v>4</v>
      </c>
      <c r="AU4" s="186" t="s">
        <v>5</v>
      </c>
      <c r="AV4" s="186" t="s">
        <v>6</v>
      </c>
      <c r="AW4" s="186" t="s">
        <v>7</v>
      </c>
      <c r="AX4" s="186" t="s">
        <v>8</v>
      </c>
      <c r="AY4" s="186" t="s">
        <v>9</v>
      </c>
      <c r="AZ4" s="186" t="s">
        <v>10</v>
      </c>
      <c r="BA4" s="197" t="s">
        <v>11</v>
      </c>
    </row>
    <row r="5" spans="1:53" ht="15.75" customHeight="1" thickBot="1" x14ac:dyDescent="0.35">
      <c r="A5" s="451"/>
      <c r="B5" s="135" t="s">
        <v>93</v>
      </c>
      <c r="C5" s="136" t="s">
        <v>94</v>
      </c>
      <c r="D5" s="187" t="s">
        <v>95</v>
      </c>
      <c r="E5" s="188" t="s">
        <v>96</v>
      </c>
      <c r="F5" s="189" t="s">
        <v>97</v>
      </c>
      <c r="G5" s="190" t="s">
        <v>95</v>
      </c>
      <c r="H5" s="188" t="s">
        <v>96</v>
      </c>
      <c r="I5" s="191" t="s">
        <v>97</v>
      </c>
      <c r="J5" s="137" t="s">
        <v>95</v>
      </c>
      <c r="K5" s="138" t="s">
        <v>96</v>
      </c>
      <c r="L5" s="139" t="s">
        <v>97</v>
      </c>
      <c r="M5" s="187" t="s">
        <v>95</v>
      </c>
      <c r="N5" s="188" t="s">
        <v>96</v>
      </c>
      <c r="O5" s="189" t="s">
        <v>97</v>
      </c>
      <c r="P5" s="190" t="s">
        <v>95</v>
      </c>
      <c r="Q5" s="188" t="s">
        <v>96</v>
      </c>
      <c r="R5" s="189" t="s">
        <v>97</v>
      </c>
      <c r="S5" s="190" t="s">
        <v>95</v>
      </c>
      <c r="T5" s="188" t="s">
        <v>96</v>
      </c>
      <c r="U5" s="189" t="s">
        <v>97</v>
      </c>
      <c r="V5" s="190" t="s">
        <v>95</v>
      </c>
      <c r="W5" s="188" t="s">
        <v>96</v>
      </c>
      <c r="X5" s="189" t="s">
        <v>97</v>
      </c>
      <c r="Y5" s="190" t="s">
        <v>95</v>
      </c>
      <c r="Z5" s="188" t="s">
        <v>96</v>
      </c>
      <c r="AA5" s="189" t="s">
        <v>97</v>
      </c>
      <c r="AB5" s="190" t="s">
        <v>95</v>
      </c>
      <c r="AC5" s="188" t="s">
        <v>96</v>
      </c>
      <c r="AD5" s="189" t="s">
        <v>97</v>
      </c>
      <c r="AE5" s="190" t="s">
        <v>95</v>
      </c>
      <c r="AF5" s="188" t="s">
        <v>96</v>
      </c>
      <c r="AG5" s="191" t="s">
        <v>97</v>
      </c>
      <c r="AH5" s="229">
        <v>0.9</v>
      </c>
      <c r="AI5" s="229">
        <v>0.9</v>
      </c>
      <c r="AJ5" s="229">
        <v>0.9</v>
      </c>
      <c r="AK5" s="229">
        <v>0.9</v>
      </c>
      <c r="AL5" s="229">
        <v>0.9</v>
      </c>
      <c r="AM5" s="229">
        <v>0.9</v>
      </c>
      <c r="AN5" s="229">
        <v>0.9</v>
      </c>
      <c r="AO5" s="229">
        <v>0.9</v>
      </c>
      <c r="AP5" s="229">
        <v>0.9</v>
      </c>
      <c r="AQ5" s="230">
        <v>0.9</v>
      </c>
      <c r="AR5" s="12"/>
      <c r="AS5" s="12"/>
      <c r="AT5" s="12"/>
      <c r="AU5" s="12"/>
      <c r="AV5" s="12"/>
      <c r="AW5" s="12"/>
      <c r="AX5" s="12"/>
      <c r="AY5" s="12"/>
      <c r="AZ5" s="12"/>
      <c r="BA5" s="13"/>
    </row>
    <row r="6" spans="1:53" x14ac:dyDescent="0.3">
      <c r="A6" s="140" t="s">
        <v>87</v>
      </c>
      <c r="B6" s="141"/>
      <c r="C6" s="232"/>
      <c r="D6" s="142"/>
      <c r="E6" s="240"/>
      <c r="F6" s="241"/>
      <c r="G6" s="235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2"/>
      <c r="AF6" s="142"/>
      <c r="AG6" s="222"/>
      <c r="AH6" s="231">
        <f>+Janvier!AJ6</f>
        <v>8562.51</v>
      </c>
      <c r="AI6" s="231">
        <f>+Janvier!AK6</f>
        <v>29828.509615384621</v>
      </c>
      <c r="AJ6" s="231">
        <f>+Janvier!AL6</f>
        <v>19865.787403846156</v>
      </c>
      <c r="AK6" s="231">
        <f>+Janvier!AM6</f>
        <v>19865.787403846156</v>
      </c>
      <c r="AL6" s="231">
        <f>+Janvier!AN6</f>
        <v>12527.97403846154</v>
      </c>
      <c r="AM6" s="231">
        <f>+Janvier!AO6</f>
        <v>7457.1274038461552</v>
      </c>
      <c r="AN6" s="231">
        <f>+Janvier!AP6</f>
        <v>14914.25480769231</v>
      </c>
      <c r="AO6" s="231">
        <f>+Janvier!AQ6</f>
        <v>7457.1274038461552</v>
      </c>
      <c r="AP6" s="231">
        <f>+Janvier!AR6</f>
        <v>7457.1274038461552</v>
      </c>
      <c r="AQ6" s="231">
        <f>+Janvier!AS6</f>
        <v>13292.847692307696</v>
      </c>
      <c r="AR6" s="16">
        <f>ROUND(E6/(AH6/15),0)</f>
        <v>0</v>
      </c>
      <c r="AS6" s="16">
        <f>ROUND(H6/(AI6/15),0)</f>
        <v>0</v>
      </c>
      <c r="AT6" s="16">
        <f>ROUND(K6/(AJ6/15),0)</f>
        <v>0</v>
      </c>
      <c r="AU6" s="16">
        <f>ROUND(N6/(AK6/15),0)</f>
        <v>0</v>
      </c>
      <c r="AV6" s="16">
        <f>ROUND(Q6/(AL6/15),0)</f>
        <v>0</v>
      </c>
      <c r="AW6" s="16">
        <f>ROUND(T6/(AM6/15),0)</f>
        <v>0</v>
      </c>
      <c r="AX6" s="16">
        <f>ROUND(W6/(AN6/15),0)</f>
        <v>0</v>
      </c>
      <c r="AY6" s="16">
        <f>ROUND(Z6/(AO6/15),0)</f>
        <v>0</v>
      </c>
      <c r="AZ6" s="16">
        <f>ROUND(AC6/(AP6/15),0)</f>
        <v>0</v>
      </c>
      <c r="BA6" s="17">
        <f t="shared" ref="BA6" si="0">ROUND(AF6/(AQ6/15),0)</f>
        <v>0</v>
      </c>
    </row>
    <row r="7" spans="1:53" x14ac:dyDescent="0.3">
      <c r="A7" s="184" t="s">
        <v>100</v>
      </c>
      <c r="B7" s="94"/>
      <c r="C7" s="233"/>
      <c r="D7" s="107"/>
      <c r="E7" s="106"/>
      <c r="F7" s="117"/>
      <c r="G7" s="236"/>
      <c r="H7" s="96"/>
      <c r="I7" s="105"/>
      <c r="J7" s="95"/>
      <c r="K7" s="96"/>
      <c r="L7" s="97"/>
      <c r="M7" s="95"/>
      <c r="N7" s="96"/>
      <c r="O7" s="97"/>
      <c r="P7" s="95"/>
      <c r="Q7" s="96"/>
      <c r="R7" s="97"/>
      <c r="S7" s="95"/>
      <c r="T7" s="96"/>
      <c r="U7" s="97"/>
      <c r="V7" s="95"/>
      <c r="W7" s="96"/>
      <c r="X7" s="97"/>
      <c r="Y7" s="95"/>
      <c r="Z7" s="96"/>
      <c r="AA7" s="97"/>
      <c r="AB7" s="95"/>
      <c r="AC7" s="96"/>
      <c r="AD7" s="97"/>
      <c r="AE7" s="95"/>
      <c r="AF7" s="96"/>
      <c r="AG7" s="105"/>
      <c r="AH7" s="231">
        <f>+Janvier!AJ7</f>
        <v>205.71428571428572</v>
      </c>
      <c r="AI7" s="231">
        <f>+Janvier!AK7</f>
        <v>640.00000000000011</v>
      </c>
      <c r="AJ7" s="231">
        <f>+Janvier!AL7</f>
        <v>480</v>
      </c>
      <c r="AK7" s="231">
        <f>+Janvier!AM7</f>
        <v>480</v>
      </c>
      <c r="AL7" s="231">
        <f>+Janvier!AN7</f>
        <v>290.90909090909099</v>
      </c>
      <c r="AM7" s="231">
        <f>+Janvier!AO7</f>
        <v>180.00000000000003</v>
      </c>
      <c r="AN7" s="231">
        <f>+Janvier!AP7</f>
        <v>360.00000000000006</v>
      </c>
      <c r="AO7" s="231">
        <f>+Janvier!AQ7</f>
        <v>180.00000000000003</v>
      </c>
      <c r="AP7" s="231">
        <f>+Janvier!AR7</f>
        <v>180.00000000000003</v>
      </c>
      <c r="AQ7" s="231">
        <f>+Janvier!AS7</f>
        <v>320.00000000000006</v>
      </c>
      <c r="AR7" s="19">
        <f t="shared" ref="AR7:AR13" si="1">ROUND(E7/(AH7/5),0)</f>
        <v>0</v>
      </c>
      <c r="AS7" s="19">
        <f>ROUND(H7/(AI7/5),0)</f>
        <v>0</v>
      </c>
      <c r="AT7" s="19">
        <f>ROUND(K7/(AJ7/5),0)</f>
        <v>0</v>
      </c>
      <c r="AU7" s="19">
        <f>ROUND(N7/(AK7/5),0)</f>
        <v>0</v>
      </c>
      <c r="AV7" s="19">
        <f>ROUND(Q7/(AL7/5),0)</f>
        <v>0</v>
      </c>
      <c r="AW7" s="19">
        <f>ROUND(T7/(AM7/5),0)</f>
        <v>0</v>
      </c>
      <c r="AX7" s="19">
        <f>ROUND(W7/(AN7/5),0)</f>
        <v>0</v>
      </c>
      <c r="AY7" s="19">
        <f>ROUND(Z7/(AO7/5),0)</f>
        <v>0</v>
      </c>
      <c r="AZ7" s="19">
        <f>ROUND(AC7/(AP7/5),0)</f>
        <v>0</v>
      </c>
      <c r="BA7" s="20">
        <f t="shared" ref="BA7:BA13" si="2">ROUND(AF7/(AQ7/5),0)</f>
        <v>0</v>
      </c>
    </row>
    <row r="8" spans="1:53" x14ac:dyDescent="0.3">
      <c r="A8" s="184" t="s">
        <v>101</v>
      </c>
      <c r="B8" s="94"/>
      <c r="C8" s="233"/>
      <c r="D8" s="107"/>
      <c r="E8" s="96"/>
      <c r="F8" s="97"/>
      <c r="G8" s="237"/>
      <c r="H8" s="96"/>
      <c r="I8" s="105"/>
      <c r="J8" s="95"/>
      <c r="K8" s="96"/>
      <c r="L8" s="97"/>
      <c r="M8" s="95"/>
      <c r="N8" s="96"/>
      <c r="O8" s="97"/>
      <c r="P8" s="95"/>
      <c r="Q8" s="96"/>
      <c r="R8" s="97"/>
      <c r="S8" s="95"/>
      <c r="T8" s="96"/>
      <c r="U8" s="97"/>
      <c r="V8" s="95"/>
      <c r="W8" s="96"/>
      <c r="X8" s="97"/>
      <c r="Y8" s="95"/>
      <c r="Z8" s="96"/>
      <c r="AA8" s="97"/>
      <c r="AB8" s="95"/>
      <c r="AC8" s="96"/>
      <c r="AD8" s="97"/>
      <c r="AE8" s="95"/>
      <c r="AF8" s="96"/>
      <c r="AG8" s="105"/>
      <c r="AH8" s="231">
        <f>+Janvier!AJ8</f>
        <v>676.23626373626382</v>
      </c>
      <c r="AI8" s="231">
        <f>+Janvier!AK8</f>
        <v>2103.8461538461538</v>
      </c>
      <c r="AJ8" s="231">
        <f>+Janvier!AL8</f>
        <v>1577.8846153846155</v>
      </c>
      <c r="AK8" s="231">
        <f>+Janvier!AM8</f>
        <v>1577.8846153846155</v>
      </c>
      <c r="AL8" s="231">
        <f>+Janvier!AN8</f>
        <v>956.29370629370646</v>
      </c>
      <c r="AM8" s="231">
        <f>+Janvier!AO8</f>
        <v>591.70673076923083</v>
      </c>
      <c r="AN8" s="231">
        <f>+Janvier!AP8</f>
        <v>1183.4134615384617</v>
      </c>
      <c r="AO8" s="231">
        <f>+Janvier!AQ8</f>
        <v>591.70673076923083</v>
      </c>
      <c r="AP8" s="231">
        <f>+Janvier!AR8</f>
        <v>591.70673076923083</v>
      </c>
      <c r="AQ8" s="231">
        <f>+Janvier!AS8</f>
        <v>1051.9230769230769</v>
      </c>
      <c r="AR8" s="19">
        <f t="shared" si="1"/>
        <v>0</v>
      </c>
      <c r="AS8" s="19">
        <f t="shared" ref="AS8:AS13" si="3">ROUND(H8/(AI8/5),0)</f>
        <v>0</v>
      </c>
      <c r="AT8" s="19">
        <f t="shared" ref="AT8:AT13" si="4">ROUND(K8/(AJ8/5),0)</f>
        <v>0</v>
      </c>
      <c r="AU8" s="19">
        <f t="shared" ref="AU8:AU13" si="5">ROUND(N8/(AK8/5),0)</f>
        <v>0</v>
      </c>
      <c r="AV8" s="19">
        <f t="shared" ref="AV8:AV13" si="6">ROUND(Q8/(AL8/5),0)</f>
        <v>0</v>
      </c>
      <c r="AW8" s="19">
        <f t="shared" ref="AW8:AW13" si="7">ROUND(T8/(AM8/5),0)</f>
        <v>0</v>
      </c>
      <c r="AX8" s="19">
        <f t="shared" ref="AX8:AX13" si="8">ROUND(W8/(AN8/5),0)</f>
        <v>0</v>
      </c>
      <c r="AY8" s="19">
        <f t="shared" ref="AY8:AY13" si="9">ROUND(Z8/(AO8/5),0)</f>
        <v>0</v>
      </c>
      <c r="AZ8" s="19">
        <f t="shared" ref="AZ8:AZ13" si="10">ROUND(AC8/(AP8/5),0)</f>
        <v>0</v>
      </c>
      <c r="BA8" s="20">
        <f t="shared" si="2"/>
        <v>0</v>
      </c>
    </row>
    <row r="9" spans="1:53" x14ac:dyDescent="0.3">
      <c r="A9" s="184" t="s">
        <v>102</v>
      </c>
      <c r="B9" s="94"/>
      <c r="C9" s="233"/>
      <c r="D9" s="107"/>
      <c r="E9" s="96"/>
      <c r="F9" s="97"/>
      <c r="G9" s="237"/>
      <c r="H9" s="96"/>
      <c r="I9" s="105"/>
      <c r="J9" s="95"/>
      <c r="K9" s="96"/>
      <c r="L9" s="97"/>
      <c r="M9" s="95"/>
      <c r="N9" s="96"/>
      <c r="O9" s="97"/>
      <c r="P9" s="95"/>
      <c r="Q9" s="96"/>
      <c r="R9" s="97"/>
      <c r="S9" s="95"/>
      <c r="T9" s="96"/>
      <c r="U9" s="97"/>
      <c r="V9" s="95"/>
      <c r="W9" s="96"/>
      <c r="X9" s="97"/>
      <c r="Y9" s="95"/>
      <c r="Z9" s="96"/>
      <c r="AA9" s="97"/>
      <c r="AB9" s="95"/>
      <c r="AC9" s="96"/>
      <c r="AD9" s="97"/>
      <c r="AE9" s="95"/>
      <c r="AF9" s="96"/>
      <c r="AG9" s="105"/>
      <c r="AH9" s="231">
        <f>+Janvier!AJ9</f>
        <v>611.82692307692309</v>
      </c>
      <c r="AI9" s="231">
        <f>+Janvier!AK9</f>
        <v>1903.4615384615386</v>
      </c>
      <c r="AJ9" s="231">
        <f>+Janvier!AL9</f>
        <v>1427.5961538461543</v>
      </c>
      <c r="AK9" s="231">
        <f>+Janvier!AM9</f>
        <v>1427.5961538461543</v>
      </c>
      <c r="AL9" s="231">
        <f>+Janvier!AN9</f>
        <v>865.20979020979041</v>
      </c>
      <c r="AM9" s="231">
        <f>+Janvier!AO9</f>
        <v>535.34855769230762</v>
      </c>
      <c r="AN9" s="231">
        <f>+Janvier!AP9</f>
        <v>1070.6971153846152</v>
      </c>
      <c r="AO9" s="231">
        <f>+Janvier!AQ9</f>
        <v>535.34855769230762</v>
      </c>
      <c r="AP9" s="231">
        <f>+Janvier!AR9</f>
        <v>535.34855769230762</v>
      </c>
      <c r="AQ9" s="231">
        <f>+Janvier!AS9</f>
        <v>951.73076923076928</v>
      </c>
      <c r="AR9" s="19">
        <f t="shared" si="1"/>
        <v>0</v>
      </c>
      <c r="AS9" s="19">
        <f t="shared" si="3"/>
        <v>0</v>
      </c>
      <c r="AT9" s="19">
        <f t="shared" si="4"/>
        <v>0</v>
      </c>
      <c r="AU9" s="19">
        <f t="shared" si="5"/>
        <v>0</v>
      </c>
      <c r="AV9" s="19">
        <f t="shared" si="6"/>
        <v>0</v>
      </c>
      <c r="AW9" s="19">
        <f t="shared" si="7"/>
        <v>0</v>
      </c>
      <c r="AX9" s="19">
        <f t="shared" si="8"/>
        <v>0</v>
      </c>
      <c r="AY9" s="19">
        <f t="shared" si="9"/>
        <v>0</v>
      </c>
      <c r="AZ9" s="19">
        <f t="shared" si="10"/>
        <v>0</v>
      </c>
      <c r="BA9" s="20">
        <f t="shared" si="2"/>
        <v>0</v>
      </c>
    </row>
    <row r="10" spans="1:53" x14ac:dyDescent="0.3">
      <c r="A10" s="184" t="s">
        <v>34</v>
      </c>
      <c r="B10" s="94"/>
      <c r="C10" s="233"/>
      <c r="D10" s="107"/>
      <c r="E10" s="96"/>
      <c r="F10" s="97"/>
      <c r="G10" s="237"/>
      <c r="H10" s="96"/>
      <c r="I10" s="105"/>
      <c r="J10" s="95"/>
      <c r="K10" s="96"/>
      <c r="L10" s="97"/>
      <c r="M10" s="95"/>
      <c r="N10" s="96"/>
      <c r="O10" s="97"/>
      <c r="P10" s="95"/>
      <c r="Q10" s="96"/>
      <c r="R10" s="97"/>
      <c r="S10" s="95"/>
      <c r="T10" s="96"/>
      <c r="U10" s="97"/>
      <c r="V10" s="95"/>
      <c r="W10" s="96"/>
      <c r="X10" s="97"/>
      <c r="Y10" s="95"/>
      <c r="Z10" s="96"/>
      <c r="AA10" s="97"/>
      <c r="AB10" s="95"/>
      <c r="AC10" s="96"/>
      <c r="AD10" s="97"/>
      <c r="AE10" s="95"/>
      <c r="AF10" s="96"/>
      <c r="AG10" s="105"/>
      <c r="AH10" s="231">
        <f>+Janvier!AJ10</f>
        <v>104.46428571428572</v>
      </c>
      <c r="AI10" s="231">
        <f>+Janvier!AK10</f>
        <v>325</v>
      </c>
      <c r="AJ10" s="231">
        <f>+Janvier!AL10</f>
        <v>243.75</v>
      </c>
      <c r="AK10" s="231">
        <f>+Janvier!AM10</f>
        <v>243.75</v>
      </c>
      <c r="AL10" s="231">
        <f>+Janvier!AN10</f>
        <v>147.72727272727275</v>
      </c>
      <c r="AM10" s="231">
        <f>+Janvier!AO10</f>
        <v>91.40625</v>
      </c>
      <c r="AN10" s="231">
        <f>+Janvier!AP10</f>
        <v>182.8125</v>
      </c>
      <c r="AO10" s="231">
        <f>+Janvier!AQ10</f>
        <v>91.40625</v>
      </c>
      <c r="AP10" s="231">
        <f>+Janvier!AR10</f>
        <v>91.40625</v>
      </c>
      <c r="AQ10" s="231">
        <f>+Janvier!AS10</f>
        <v>162.5</v>
      </c>
      <c r="AR10" s="19">
        <f t="shared" si="1"/>
        <v>0</v>
      </c>
      <c r="AS10" s="19">
        <f t="shared" si="3"/>
        <v>0</v>
      </c>
      <c r="AT10" s="19">
        <f t="shared" si="4"/>
        <v>0</v>
      </c>
      <c r="AU10" s="19">
        <f t="shared" si="5"/>
        <v>0</v>
      </c>
      <c r="AV10" s="19">
        <f t="shared" si="6"/>
        <v>0</v>
      </c>
      <c r="AW10" s="19">
        <f t="shared" si="7"/>
        <v>0</v>
      </c>
      <c r="AX10" s="19">
        <f t="shared" si="8"/>
        <v>0</v>
      </c>
      <c r="AY10" s="19">
        <f t="shared" si="9"/>
        <v>0</v>
      </c>
      <c r="AZ10" s="19">
        <f t="shared" si="10"/>
        <v>0</v>
      </c>
      <c r="BA10" s="20">
        <f t="shared" si="2"/>
        <v>0</v>
      </c>
    </row>
    <row r="11" spans="1:53" x14ac:dyDescent="0.3">
      <c r="A11" s="184" t="s">
        <v>103</v>
      </c>
      <c r="B11" s="94"/>
      <c r="C11" s="233"/>
      <c r="D11" s="107"/>
      <c r="E11" s="96"/>
      <c r="F11" s="97"/>
      <c r="G11" s="237"/>
      <c r="H11" s="96"/>
      <c r="I11" s="105"/>
      <c r="J11" s="95"/>
      <c r="K11" s="96"/>
      <c r="L11" s="97"/>
      <c r="M11" s="95"/>
      <c r="N11" s="96"/>
      <c r="O11" s="97"/>
      <c r="P11" s="95"/>
      <c r="Q11" s="96"/>
      <c r="R11" s="97"/>
      <c r="S11" s="95"/>
      <c r="T11" s="96"/>
      <c r="U11" s="97"/>
      <c r="V11" s="95"/>
      <c r="W11" s="96"/>
      <c r="X11" s="97"/>
      <c r="Y11" s="95"/>
      <c r="Z11" s="96"/>
      <c r="AA11" s="97"/>
      <c r="AB11" s="95"/>
      <c r="AC11" s="96"/>
      <c r="AD11" s="97"/>
      <c r="AE11" s="95"/>
      <c r="AF11" s="96"/>
      <c r="AG11" s="105"/>
      <c r="AH11" s="231">
        <f>+Janvier!AJ11</f>
        <v>190.75549450549454</v>
      </c>
      <c r="AI11" s="231">
        <f>+Janvier!AK11</f>
        <v>593.46153846153857</v>
      </c>
      <c r="AJ11" s="231">
        <f>+Janvier!AL11</f>
        <v>445.09615384615392</v>
      </c>
      <c r="AK11" s="231">
        <f>+Janvier!AM11</f>
        <v>445.09615384615392</v>
      </c>
      <c r="AL11" s="231">
        <f>+Janvier!AN11</f>
        <v>269.7552447552448</v>
      </c>
      <c r="AM11" s="231">
        <f>+Janvier!AO11</f>
        <v>166.91105769230771</v>
      </c>
      <c r="AN11" s="231">
        <f>+Janvier!AP11</f>
        <v>333.82211538461542</v>
      </c>
      <c r="AO11" s="231">
        <f>+Janvier!AQ11</f>
        <v>166.91105769230771</v>
      </c>
      <c r="AP11" s="231">
        <f>+Janvier!AR11</f>
        <v>166.91105769230771</v>
      </c>
      <c r="AQ11" s="231">
        <f>+Janvier!AS11</f>
        <v>296.73076923076928</v>
      </c>
      <c r="AR11" s="19">
        <f t="shared" si="1"/>
        <v>0</v>
      </c>
      <c r="AS11" s="19">
        <f t="shared" si="3"/>
        <v>0</v>
      </c>
      <c r="AT11" s="19">
        <f t="shared" si="4"/>
        <v>0</v>
      </c>
      <c r="AU11" s="19">
        <f t="shared" si="5"/>
        <v>0</v>
      </c>
      <c r="AV11" s="19">
        <f t="shared" si="6"/>
        <v>0</v>
      </c>
      <c r="AW11" s="19">
        <f t="shared" si="7"/>
        <v>0</v>
      </c>
      <c r="AX11" s="19">
        <f t="shared" si="8"/>
        <v>0</v>
      </c>
      <c r="AY11" s="19">
        <f t="shared" si="9"/>
        <v>0</v>
      </c>
      <c r="AZ11" s="19">
        <f t="shared" si="10"/>
        <v>0</v>
      </c>
      <c r="BA11" s="20">
        <f t="shared" si="2"/>
        <v>0</v>
      </c>
    </row>
    <row r="12" spans="1:53" x14ac:dyDescent="0.3">
      <c r="A12" s="184" t="s">
        <v>104</v>
      </c>
      <c r="B12" s="94"/>
      <c r="C12" s="233"/>
      <c r="D12" s="107"/>
      <c r="E12" s="106"/>
      <c r="F12" s="117"/>
      <c r="G12" s="236"/>
      <c r="H12" s="96"/>
      <c r="I12" s="105"/>
      <c r="J12" s="95"/>
      <c r="K12" s="96"/>
      <c r="L12" s="97"/>
      <c r="M12" s="95"/>
      <c r="N12" s="96"/>
      <c r="O12" s="97"/>
      <c r="P12" s="95"/>
      <c r="Q12" s="96"/>
      <c r="R12" s="97"/>
      <c r="S12" s="95"/>
      <c r="T12" s="96"/>
      <c r="U12" s="97"/>
      <c r="V12" s="95"/>
      <c r="W12" s="96"/>
      <c r="X12" s="97"/>
      <c r="Y12" s="95"/>
      <c r="Z12" s="96"/>
      <c r="AA12" s="97"/>
      <c r="AB12" s="95"/>
      <c r="AC12" s="96"/>
      <c r="AD12" s="97"/>
      <c r="AE12" s="95"/>
      <c r="AF12" s="96"/>
      <c r="AG12" s="105"/>
      <c r="AH12" s="231">
        <f>+Janvier!AJ12</f>
        <v>302.3901098901099</v>
      </c>
      <c r="AI12" s="231">
        <f>+Janvier!AK12</f>
        <v>940.76923076923083</v>
      </c>
      <c r="AJ12" s="231">
        <f>+Janvier!AL12</f>
        <v>705.57692307692321</v>
      </c>
      <c r="AK12" s="231">
        <f>+Janvier!AM12</f>
        <v>705.57692307692321</v>
      </c>
      <c r="AL12" s="231">
        <f>+Janvier!AN12</f>
        <v>427.62237762237766</v>
      </c>
      <c r="AM12" s="231">
        <f>+Janvier!AO12</f>
        <v>264.59134615384619</v>
      </c>
      <c r="AN12" s="231">
        <f>+Janvier!AP12</f>
        <v>529.18269230769238</v>
      </c>
      <c r="AO12" s="231">
        <f>+Janvier!AQ12</f>
        <v>264.59134615384619</v>
      </c>
      <c r="AP12" s="231">
        <f>+Janvier!AR12</f>
        <v>264.59134615384619</v>
      </c>
      <c r="AQ12" s="231">
        <f>+Janvier!AS12</f>
        <v>470.38461538461542</v>
      </c>
      <c r="AR12" s="19">
        <f t="shared" si="1"/>
        <v>0</v>
      </c>
      <c r="AS12" s="19">
        <f t="shared" si="3"/>
        <v>0</v>
      </c>
      <c r="AT12" s="19">
        <f t="shared" si="4"/>
        <v>0</v>
      </c>
      <c r="AU12" s="19">
        <f t="shared" si="5"/>
        <v>0</v>
      </c>
      <c r="AV12" s="19">
        <f t="shared" si="6"/>
        <v>0</v>
      </c>
      <c r="AW12" s="19">
        <f t="shared" si="7"/>
        <v>0</v>
      </c>
      <c r="AX12" s="19">
        <f t="shared" si="8"/>
        <v>0</v>
      </c>
      <c r="AY12" s="19">
        <f t="shared" si="9"/>
        <v>0</v>
      </c>
      <c r="AZ12" s="19">
        <f t="shared" si="10"/>
        <v>0</v>
      </c>
      <c r="BA12" s="20">
        <f t="shared" si="2"/>
        <v>0</v>
      </c>
    </row>
    <row r="13" spans="1:53" ht="15" thickBot="1" x14ac:dyDescent="0.35">
      <c r="A13" s="121" t="s">
        <v>105</v>
      </c>
      <c r="B13" s="143"/>
      <c r="C13" s="234"/>
      <c r="D13" s="249"/>
      <c r="E13" s="250"/>
      <c r="F13" s="251"/>
      <c r="G13" s="238"/>
      <c r="H13" s="109"/>
      <c r="I13" s="112"/>
      <c r="J13" s="111"/>
      <c r="K13" s="109"/>
      <c r="L13" s="110"/>
      <c r="M13" s="111"/>
      <c r="N13" s="109"/>
      <c r="O13" s="110"/>
      <c r="P13" s="111"/>
      <c r="Q13" s="109"/>
      <c r="R13" s="110"/>
      <c r="S13" s="111"/>
      <c r="T13" s="109"/>
      <c r="U13" s="110"/>
      <c r="V13" s="111"/>
      <c r="W13" s="109"/>
      <c r="X13" s="110"/>
      <c r="Y13" s="111"/>
      <c r="Z13" s="109"/>
      <c r="AA13" s="110"/>
      <c r="AB13" s="111"/>
      <c r="AC13" s="109"/>
      <c r="AD13" s="110"/>
      <c r="AE13" s="111"/>
      <c r="AF13" s="109"/>
      <c r="AG13" s="112"/>
      <c r="AH13" s="231">
        <f>+Janvier!AJ13</f>
        <v>749.42307692307691</v>
      </c>
      <c r="AI13" s="231">
        <f>+Janvier!AK13</f>
        <v>2331.5384615384619</v>
      </c>
      <c r="AJ13" s="231">
        <f>+Janvier!AL13</f>
        <v>1748.6538461538464</v>
      </c>
      <c r="AK13" s="231">
        <f>+Janvier!AM13</f>
        <v>1748.6538461538464</v>
      </c>
      <c r="AL13" s="231">
        <f>+Janvier!AN13</f>
        <v>1059.7902097902099</v>
      </c>
      <c r="AM13" s="231">
        <f>+Janvier!AO13</f>
        <v>655.74519230769226</v>
      </c>
      <c r="AN13" s="231">
        <f>+Janvier!AP13</f>
        <v>1311.4903846153845</v>
      </c>
      <c r="AO13" s="231">
        <f>+Janvier!AQ13</f>
        <v>655.74519230769226</v>
      </c>
      <c r="AP13" s="231">
        <f>+Janvier!AR13</f>
        <v>655.74519230769226</v>
      </c>
      <c r="AQ13" s="231">
        <f>+Janvier!AS13</f>
        <v>1165.7692307692309</v>
      </c>
      <c r="AR13" s="29">
        <f t="shared" si="1"/>
        <v>0</v>
      </c>
      <c r="AS13" s="29">
        <f t="shared" si="3"/>
        <v>0</v>
      </c>
      <c r="AT13" s="29">
        <f t="shared" si="4"/>
        <v>0</v>
      </c>
      <c r="AU13" s="29">
        <f t="shared" si="5"/>
        <v>0</v>
      </c>
      <c r="AV13" s="29">
        <f t="shared" si="6"/>
        <v>0</v>
      </c>
      <c r="AW13" s="29">
        <f t="shared" si="7"/>
        <v>0</v>
      </c>
      <c r="AX13" s="29">
        <f t="shared" si="8"/>
        <v>0</v>
      </c>
      <c r="AY13" s="29">
        <f t="shared" si="9"/>
        <v>0</v>
      </c>
      <c r="AZ13" s="29">
        <f t="shared" si="10"/>
        <v>0</v>
      </c>
      <c r="BA13" s="30">
        <f t="shared" si="2"/>
        <v>0</v>
      </c>
    </row>
    <row r="14" spans="1:53" x14ac:dyDescent="0.3">
      <c r="A14" s="140" t="s">
        <v>85</v>
      </c>
      <c r="B14" s="152"/>
      <c r="C14" s="242"/>
      <c r="D14" s="155"/>
      <c r="E14" s="154"/>
      <c r="F14" s="165"/>
      <c r="G14" s="245"/>
      <c r="H14" s="167"/>
      <c r="I14" s="168"/>
      <c r="J14" s="155"/>
      <c r="K14" s="154"/>
      <c r="L14" s="153"/>
      <c r="M14" s="155"/>
      <c r="N14" s="154"/>
      <c r="O14" s="153"/>
      <c r="P14" s="155"/>
      <c r="Q14" s="154"/>
      <c r="R14" s="153"/>
      <c r="S14" s="155"/>
      <c r="T14" s="154"/>
      <c r="U14" s="153"/>
      <c r="V14" s="155"/>
      <c r="W14" s="154"/>
      <c r="X14" s="153"/>
      <c r="Y14" s="155"/>
      <c r="Z14" s="154"/>
      <c r="AA14" s="153"/>
      <c r="AB14" s="155"/>
      <c r="AC14" s="154"/>
      <c r="AD14" s="153"/>
      <c r="AE14" s="155"/>
      <c r="AF14" s="154"/>
      <c r="AG14" s="223"/>
      <c r="AH14" s="231">
        <f>+Janvier!AJ14</f>
        <v>10845.32625</v>
      </c>
      <c r="AI14" s="231">
        <f>+Janvier!AK14</f>
        <v>37883.076923076922</v>
      </c>
      <c r="AJ14" s="231">
        <f>+Janvier!AL14</f>
        <v>25230.129230769231</v>
      </c>
      <c r="AK14" s="231">
        <f>+Janvier!AM14</f>
        <v>25230.129230769231</v>
      </c>
      <c r="AL14" s="231">
        <f>+Janvier!AN14</f>
        <v>15910.892307692309</v>
      </c>
      <c r="AM14" s="231">
        <f>+Janvier!AO14</f>
        <v>9470.7692307692305</v>
      </c>
      <c r="AN14" s="231">
        <f>+Janvier!AP14</f>
        <v>18941.538461538461</v>
      </c>
      <c r="AO14" s="231">
        <f>+Janvier!AQ14</f>
        <v>9470.7692307692305</v>
      </c>
      <c r="AP14" s="231">
        <f>+Janvier!AR14</f>
        <v>9470.7692307692305</v>
      </c>
      <c r="AQ14" s="231">
        <f>+Janvier!AS14</f>
        <v>16836.800192307695</v>
      </c>
      <c r="AR14" s="16">
        <f>ROUND(E14/(AH14/15),0)</f>
        <v>0</v>
      </c>
      <c r="AS14" s="16">
        <f t="shared" ref="AS14" si="11">ROUND(H14/(AI14/15),0)</f>
        <v>0</v>
      </c>
      <c r="AT14" s="16">
        <f t="shared" ref="AT14" si="12">ROUND(K14/(AJ14/15),0)</f>
        <v>0</v>
      </c>
      <c r="AU14" s="16">
        <f t="shared" ref="AU14" si="13">ROUND(N14/(AK14/15),0)</f>
        <v>0</v>
      </c>
      <c r="AV14" s="16">
        <f t="shared" ref="AV14" si="14">ROUND(Q14/(AL14/15),0)</f>
        <v>0</v>
      </c>
      <c r="AW14" s="16">
        <f t="shared" ref="AW14" si="15">ROUND(T14/(AM14/15),0)</f>
        <v>0</v>
      </c>
      <c r="AX14" s="16">
        <f t="shared" ref="AX14" si="16">ROUND(W14/(AN14/15),0)</f>
        <v>0</v>
      </c>
      <c r="AY14" s="16">
        <f t="shared" ref="AY14" si="17">ROUND(Z14/(AO14/15),0)</f>
        <v>0</v>
      </c>
      <c r="AZ14" s="16">
        <f t="shared" ref="AZ14" si="18">ROUND(AC14/(AP14/15),0)</f>
        <v>0</v>
      </c>
      <c r="BA14" s="17">
        <f t="shared" ref="BA14" si="19">ROUND(AF14/(AQ14/15),0)</f>
        <v>0</v>
      </c>
    </row>
    <row r="15" spans="1:53" x14ac:dyDescent="0.3">
      <c r="A15" s="184" t="s">
        <v>57</v>
      </c>
      <c r="B15" s="127"/>
      <c r="C15" s="243"/>
      <c r="D15" s="130"/>
      <c r="E15" s="129"/>
      <c r="F15" s="169"/>
      <c r="G15" s="246"/>
      <c r="H15" s="171"/>
      <c r="I15" s="172"/>
      <c r="J15" s="130"/>
      <c r="K15" s="129"/>
      <c r="L15" s="128"/>
      <c r="M15" s="130"/>
      <c r="N15" s="129"/>
      <c r="O15" s="128"/>
      <c r="P15" s="130"/>
      <c r="Q15" s="129"/>
      <c r="R15" s="128"/>
      <c r="S15" s="130"/>
      <c r="T15" s="129"/>
      <c r="U15" s="128"/>
      <c r="V15" s="130"/>
      <c r="W15" s="129"/>
      <c r="X15" s="128"/>
      <c r="Y15" s="130"/>
      <c r="Z15" s="129"/>
      <c r="AA15" s="128"/>
      <c r="AB15" s="130"/>
      <c r="AC15" s="129"/>
      <c r="AD15" s="128"/>
      <c r="AE15" s="130"/>
      <c r="AF15" s="129"/>
      <c r="AG15" s="224"/>
      <c r="AH15" s="231">
        <f>+Janvier!AJ15</f>
        <v>567.93956043956052</v>
      </c>
      <c r="AI15" s="231">
        <f>+Janvier!AK15</f>
        <v>1766.9230769230774</v>
      </c>
      <c r="AJ15" s="231">
        <f>+Janvier!AL15</f>
        <v>1325.1923076923076</v>
      </c>
      <c r="AK15" s="231">
        <f>+Janvier!AM15</f>
        <v>1325.1923076923076</v>
      </c>
      <c r="AL15" s="231">
        <f>+Janvier!AN15</f>
        <v>803.14685314685323</v>
      </c>
      <c r="AM15" s="231">
        <f>+Janvier!AO15</f>
        <v>496.94711538461542</v>
      </c>
      <c r="AN15" s="231">
        <f>+Janvier!AP15</f>
        <v>993.89423076923083</v>
      </c>
      <c r="AO15" s="231">
        <f>+Janvier!AQ15</f>
        <v>496.94711538461542</v>
      </c>
      <c r="AP15" s="231">
        <f>+Janvier!AR15</f>
        <v>496.94711538461542</v>
      </c>
      <c r="AQ15" s="231">
        <f>+Janvier!AS15</f>
        <v>883.46153846153868</v>
      </c>
      <c r="AR15" s="16">
        <f t="shared" ref="AR15:AR20" si="20">ROUND(E15/(AH15/5),0)</f>
        <v>0</v>
      </c>
      <c r="AS15" s="16">
        <f t="shared" ref="AS15:AS20" si="21">ROUND(H15/(AI15/5),0)</f>
        <v>0</v>
      </c>
      <c r="AT15" s="16">
        <f t="shared" ref="AT15:AT20" si="22">ROUND(K15/(AJ15/5),0)</f>
        <v>0</v>
      </c>
      <c r="AU15" s="16">
        <f t="shared" ref="AU15:AU20" si="23">ROUND(N15/(AK15/5),0)</f>
        <v>0</v>
      </c>
      <c r="AV15" s="16">
        <f t="shared" ref="AV15:AV20" si="24">ROUND(Q15/(AL15/5),0)</f>
        <v>0</v>
      </c>
      <c r="AW15" s="16">
        <f t="shared" ref="AW15:AW20" si="25">ROUND(T15/(AM15/5),0)</f>
        <v>0</v>
      </c>
      <c r="AX15" s="16">
        <f t="shared" ref="AX15:AX20" si="26">ROUND(W15/(AN15/5),0)</f>
        <v>0</v>
      </c>
      <c r="AY15" s="16">
        <f t="shared" ref="AY15:AY20" si="27">ROUND(Z15/(AO15/5),0)</f>
        <v>0</v>
      </c>
      <c r="AZ15" s="16">
        <f t="shared" ref="AZ15:AZ20" si="28">ROUND(AC15/(AP15/5),0)</f>
        <v>0</v>
      </c>
      <c r="BA15" s="17">
        <f t="shared" ref="BA15:BA20" si="29">ROUND(AF15/(AQ15/5),0)</f>
        <v>0</v>
      </c>
    </row>
    <row r="16" spans="1:53" x14ac:dyDescent="0.3">
      <c r="A16" s="184" t="s">
        <v>58</v>
      </c>
      <c r="B16" s="127"/>
      <c r="C16" s="243"/>
      <c r="D16" s="130"/>
      <c r="E16" s="129"/>
      <c r="F16" s="169"/>
      <c r="G16" s="246"/>
      <c r="H16" s="171"/>
      <c r="I16" s="172"/>
      <c r="J16" s="130"/>
      <c r="K16" s="129"/>
      <c r="L16" s="131"/>
      <c r="M16" s="130"/>
      <c r="N16" s="129"/>
      <c r="O16" s="128"/>
      <c r="P16" s="130"/>
      <c r="Q16" s="129"/>
      <c r="R16" s="128"/>
      <c r="S16" s="130"/>
      <c r="T16" s="129"/>
      <c r="U16" s="128"/>
      <c r="V16" s="130"/>
      <c r="W16" s="129"/>
      <c r="X16" s="128"/>
      <c r="Y16" s="130"/>
      <c r="Z16" s="129"/>
      <c r="AA16" s="128"/>
      <c r="AB16" s="130"/>
      <c r="AC16" s="129"/>
      <c r="AD16" s="128"/>
      <c r="AE16" s="130"/>
      <c r="AF16" s="129"/>
      <c r="AG16" s="224"/>
      <c r="AH16" s="231">
        <f>+Janvier!AJ16</f>
        <v>952.54120879120887</v>
      </c>
      <c r="AI16" s="231">
        <f>+Janvier!AK16</f>
        <v>2963.4615384615386</v>
      </c>
      <c r="AJ16" s="231">
        <f>+Janvier!AL16</f>
        <v>2222.5961538461538</v>
      </c>
      <c r="AK16" s="231">
        <f>+Janvier!AM16</f>
        <v>2222.5961538461538</v>
      </c>
      <c r="AL16" s="231">
        <f>+Janvier!AN16</f>
        <v>1347.0279720279721</v>
      </c>
      <c r="AM16" s="231">
        <f>+Janvier!AO16</f>
        <v>833.47355769230774</v>
      </c>
      <c r="AN16" s="231">
        <f>+Janvier!AP16</f>
        <v>1666.9471153846155</v>
      </c>
      <c r="AO16" s="231">
        <f>+Janvier!AQ16</f>
        <v>833.47355769230774</v>
      </c>
      <c r="AP16" s="231">
        <f>+Janvier!AR16</f>
        <v>833.47355769230774</v>
      </c>
      <c r="AQ16" s="231">
        <f>+Janvier!AS16</f>
        <v>1481.7307692307693</v>
      </c>
      <c r="AR16" s="16">
        <f t="shared" si="20"/>
        <v>0</v>
      </c>
      <c r="AS16" s="16">
        <f t="shared" si="21"/>
        <v>0</v>
      </c>
      <c r="AT16" s="16">
        <f t="shared" si="22"/>
        <v>0</v>
      </c>
      <c r="AU16" s="16">
        <f t="shared" si="23"/>
        <v>0</v>
      </c>
      <c r="AV16" s="16">
        <f t="shared" si="24"/>
        <v>0</v>
      </c>
      <c r="AW16" s="16">
        <f t="shared" si="25"/>
        <v>0</v>
      </c>
      <c r="AX16" s="16">
        <f t="shared" si="26"/>
        <v>0</v>
      </c>
      <c r="AY16" s="16">
        <f t="shared" si="27"/>
        <v>0</v>
      </c>
      <c r="AZ16" s="16">
        <f t="shared" si="28"/>
        <v>0</v>
      </c>
      <c r="BA16" s="17">
        <f t="shared" si="29"/>
        <v>0</v>
      </c>
    </row>
    <row r="17" spans="1:53" x14ac:dyDescent="0.3">
      <c r="A17" s="184" t="s">
        <v>59</v>
      </c>
      <c r="B17" s="127"/>
      <c r="C17" s="243"/>
      <c r="D17" s="130"/>
      <c r="E17" s="129"/>
      <c r="F17" s="169"/>
      <c r="G17" s="246"/>
      <c r="H17" s="171"/>
      <c r="I17" s="172"/>
      <c r="J17" s="130"/>
      <c r="K17" s="129"/>
      <c r="L17" s="128"/>
      <c r="M17" s="130"/>
      <c r="N17" s="129"/>
      <c r="O17" s="128"/>
      <c r="P17" s="130"/>
      <c r="Q17" s="129"/>
      <c r="R17" s="128"/>
      <c r="S17" s="130"/>
      <c r="T17" s="129"/>
      <c r="U17" s="128"/>
      <c r="V17" s="130"/>
      <c r="W17" s="129"/>
      <c r="X17" s="128"/>
      <c r="Y17" s="130"/>
      <c r="Z17" s="129"/>
      <c r="AA17" s="128"/>
      <c r="AB17" s="130"/>
      <c r="AC17" s="129"/>
      <c r="AD17" s="128"/>
      <c r="AE17" s="130"/>
      <c r="AF17" s="129"/>
      <c r="AG17" s="224"/>
      <c r="AH17" s="231">
        <f>+Janvier!AJ17</f>
        <v>506.86813186813191</v>
      </c>
      <c r="AI17" s="231">
        <f>+Janvier!AK17</f>
        <v>1576.9230769230767</v>
      </c>
      <c r="AJ17" s="231">
        <f>+Janvier!AL17</f>
        <v>1182.6923076923076</v>
      </c>
      <c r="AK17" s="231">
        <f>+Janvier!AM17</f>
        <v>1182.6923076923076</v>
      </c>
      <c r="AL17" s="231">
        <f>+Janvier!AN17</f>
        <v>716.78321678321686</v>
      </c>
      <c r="AM17" s="231">
        <f>+Janvier!AO17</f>
        <v>443.50961538461542</v>
      </c>
      <c r="AN17" s="231">
        <f>+Janvier!AP17</f>
        <v>887.01923076923083</v>
      </c>
      <c r="AO17" s="231">
        <f>+Janvier!AQ17</f>
        <v>443.50961538461542</v>
      </c>
      <c r="AP17" s="231">
        <f>+Janvier!AR17</f>
        <v>443.50961538461542</v>
      </c>
      <c r="AQ17" s="231">
        <f>+Janvier!AS17</f>
        <v>788.46153846153834</v>
      </c>
      <c r="AR17" s="16">
        <f t="shared" si="20"/>
        <v>0</v>
      </c>
      <c r="AS17" s="16">
        <f t="shared" si="21"/>
        <v>0</v>
      </c>
      <c r="AT17" s="16">
        <f t="shared" si="22"/>
        <v>0</v>
      </c>
      <c r="AU17" s="16">
        <f t="shared" si="23"/>
        <v>0</v>
      </c>
      <c r="AV17" s="16">
        <f t="shared" si="24"/>
        <v>0</v>
      </c>
      <c r="AW17" s="16">
        <f t="shared" si="25"/>
        <v>0</v>
      </c>
      <c r="AX17" s="16">
        <f t="shared" si="26"/>
        <v>0</v>
      </c>
      <c r="AY17" s="16">
        <f t="shared" si="27"/>
        <v>0</v>
      </c>
      <c r="AZ17" s="16">
        <f t="shared" si="28"/>
        <v>0</v>
      </c>
      <c r="BA17" s="17">
        <f t="shared" si="29"/>
        <v>0</v>
      </c>
    </row>
    <row r="18" spans="1:53" x14ac:dyDescent="0.3">
      <c r="A18" s="184" t="s">
        <v>60</v>
      </c>
      <c r="B18" s="127"/>
      <c r="C18" s="243"/>
      <c r="D18" s="130"/>
      <c r="E18" s="129"/>
      <c r="F18" s="169"/>
      <c r="G18" s="246"/>
      <c r="H18" s="171"/>
      <c r="I18" s="172"/>
      <c r="J18" s="130"/>
      <c r="K18" s="129"/>
      <c r="L18" s="131"/>
      <c r="M18" s="130"/>
      <c r="N18" s="129"/>
      <c r="O18" s="131"/>
      <c r="P18" s="130"/>
      <c r="Q18" s="129"/>
      <c r="R18" s="128"/>
      <c r="S18" s="130"/>
      <c r="T18" s="129"/>
      <c r="U18" s="128"/>
      <c r="V18" s="130"/>
      <c r="W18" s="129"/>
      <c r="X18" s="128"/>
      <c r="Y18" s="130"/>
      <c r="Z18" s="129"/>
      <c r="AA18" s="128"/>
      <c r="AB18" s="130"/>
      <c r="AC18" s="129"/>
      <c r="AD18" s="128"/>
      <c r="AE18" s="130"/>
      <c r="AF18" s="129"/>
      <c r="AG18" s="224"/>
      <c r="AH18" s="231">
        <f>+Janvier!AJ18</f>
        <v>785.76923076923083</v>
      </c>
      <c r="AI18" s="231">
        <f>+Janvier!AK18</f>
        <v>2444.6153846153852</v>
      </c>
      <c r="AJ18" s="231">
        <f>+Janvier!AL18</f>
        <v>1833.4615384615383</v>
      </c>
      <c r="AK18" s="231">
        <f>+Janvier!AM18</f>
        <v>1833.4615384615383</v>
      </c>
      <c r="AL18" s="231">
        <f>+Janvier!AN18</f>
        <v>1111.1888111888113</v>
      </c>
      <c r="AM18" s="231">
        <f>+Janvier!AO18</f>
        <v>687.54807692307713</v>
      </c>
      <c r="AN18" s="231">
        <f>+Janvier!AP18</f>
        <v>1375.0961538461543</v>
      </c>
      <c r="AO18" s="231">
        <f>+Janvier!AQ18</f>
        <v>687.54807692307713</v>
      </c>
      <c r="AP18" s="231">
        <f>+Janvier!AR18</f>
        <v>687.54807692307713</v>
      </c>
      <c r="AQ18" s="231">
        <f>+Janvier!AS18</f>
        <v>1222.3076923076926</v>
      </c>
      <c r="AR18" s="16">
        <f t="shared" si="20"/>
        <v>0</v>
      </c>
      <c r="AS18" s="16">
        <f t="shared" si="21"/>
        <v>0</v>
      </c>
      <c r="AT18" s="16">
        <f t="shared" si="22"/>
        <v>0</v>
      </c>
      <c r="AU18" s="16">
        <f t="shared" si="23"/>
        <v>0</v>
      </c>
      <c r="AV18" s="16">
        <f t="shared" si="24"/>
        <v>0</v>
      </c>
      <c r="AW18" s="16">
        <f t="shared" si="25"/>
        <v>0</v>
      </c>
      <c r="AX18" s="16">
        <f t="shared" si="26"/>
        <v>0</v>
      </c>
      <c r="AY18" s="16">
        <f t="shared" si="27"/>
        <v>0</v>
      </c>
      <c r="AZ18" s="16">
        <f t="shared" si="28"/>
        <v>0</v>
      </c>
      <c r="BA18" s="17">
        <f t="shared" si="29"/>
        <v>0</v>
      </c>
    </row>
    <row r="19" spans="1:53" x14ac:dyDescent="0.3">
      <c r="A19" s="184" t="s">
        <v>61</v>
      </c>
      <c r="B19" s="127"/>
      <c r="C19" s="243"/>
      <c r="D19" s="130"/>
      <c r="E19" s="129"/>
      <c r="F19" s="169"/>
      <c r="G19" s="247"/>
      <c r="H19" s="175"/>
      <c r="I19" s="176"/>
      <c r="J19" s="134"/>
      <c r="K19" s="133"/>
      <c r="L19" s="132"/>
      <c r="M19" s="134"/>
      <c r="N19" s="133"/>
      <c r="O19" s="132"/>
      <c r="P19" s="134"/>
      <c r="Q19" s="133"/>
      <c r="R19" s="132"/>
      <c r="S19" s="134"/>
      <c r="T19" s="133"/>
      <c r="U19" s="132"/>
      <c r="V19" s="134"/>
      <c r="W19" s="133"/>
      <c r="X19" s="132"/>
      <c r="Y19" s="134"/>
      <c r="Z19" s="133"/>
      <c r="AA19" s="132"/>
      <c r="AB19" s="134"/>
      <c r="AC19" s="133"/>
      <c r="AD19" s="132"/>
      <c r="AE19" s="134"/>
      <c r="AF19" s="133"/>
      <c r="AG19" s="225"/>
      <c r="AH19" s="231">
        <f>+Janvier!AJ19</f>
        <v>309.43681318681325</v>
      </c>
      <c r="AI19" s="231">
        <f>+Janvier!AK19</f>
        <v>962.69230769230785</v>
      </c>
      <c r="AJ19" s="231">
        <f>+Janvier!AL19</f>
        <v>722.01923076923083</v>
      </c>
      <c r="AK19" s="231">
        <f>+Janvier!AM19</f>
        <v>722.01923076923083</v>
      </c>
      <c r="AL19" s="231">
        <f>+Janvier!AN19</f>
        <v>437.5874125874127</v>
      </c>
      <c r="AM19" s="231">
        <f>+Janvier!AO19</f>
        <v>270.75721153846155</v>
      </c>
      <c r="AN19" s="231">
        <f>+Janvier!AP19</f>
        <v>541.51442307692309</v>
      </c>
      <c r="AO19" s="231">
        <f>+Janvier!AQ19</f>
        <v>270.75721153846155</v>
      </c>
      <c r="AP19" s="231">
        <f>+Janvier!AR19</f>
        <v>270.75721153846155</v>
      </c>
      <c r="AQ19" s="231">
        <f>+Janvier!AS19</f>
        <v>481.34615384615392</v>
      </c>
      <c r="AR19" s="16">
        <f t="shared" si="20"/>
        <v>0</v>
      </c>
      <c r="AS19" s="16">
        <f t="shared" si="21"/>
        <v>0</v>
      </c>
      <c r="AT19" s="16">
        <f t="shared" si="22"/>
        <v>0</v>
      </c>
      <c r="AU19" s="16">
        <f t="shared" si="23"/>
        <v>0</v>
      </c>
      <c r="AV19" s="16">
        <f t="shared" si="24"/>
        <v>0</v>
      </c>
      <c r="AW19" s="16">
        <f t="shared" si="25"/>
        <v>0</v>
      </c>
      <c r="AX19" s="16">
        <f t="shared" si="26"/>
        <v>0</v>
      </c>
      <c r="AY19" s="16">
        <f t="shared" si="27"/>
        <v>0</v>
      </c>
      <c r="AZ19" s="16">
        <f t="shared" si="28"/>
        <v>0</v>
      </c>
      <c r="BA19" s="17">
        <f t="shared" si="29"/>
        <v>0</v>
      </c>
    </row>
    <row r="20" spans="1:53" ht="15" thickBot="1" x14ac:dyDescent="0.35">
      <c r="A20" s="121" t="s">
        <v>62</v>
      </c>
      <c r="B20" s="156"/>
      <c r="C20" s="244"/>
      <c r="D20" s="159"/>
      <c r="E20" s="158"/>
      <c r="F20" s="177"/>
      <c r="G20" s="248"/>
      <c r="H20" s="179"/>
      <c r="I20" s="180"/>
      <c r="J20" s="159"/>
      <c r="K20" s="158"/>
      <c r="L20" s="157"/>
      <c r="M20" s="159"/>
      <c r="N20" s="158"/>
      <c r="O20" s="157"/>
      <c r="P20" s="159"/>
      <c r="Q20" s="158"/>
      <c r="R20" s="157"/>
      <c r="S20" s="159"/>
      <c r="T20" s="158"/>
      <c r="U20" s="157"/>
      <c r="V20" s="159"/>
      <c r="W20" s="158"/>
      <c r="X20" s="157"/>
      <c r="Y20" s="159"/>
      <c r="Z20" s="158"/>
      <c r="AA20" s="157"/>
      <c r="AB20" s="159"/>
      <c r="AC20" s="158"/>
      <c r="AD20" s="157"/>
      <c r="AE20" s="159"/>
      <c r="AF20" s="158"/>
      <c r="AG20" s="226"/>
      <c r="AH20" s="231">
        <f>+Janvier!AJ20</f>
        <v>485.2335164835165</v>
      </c>
      <c r="AI20" s="231">
        <f>+Janvier!AK20</f>
        <v>1509.6153846153845</v>
      </c>
      <c r="AJ20" s="231">
        <f>+Janvier!AL20</f>
        <v>1132.2115384615383</v>
      </c>
      <c r="AK20" s="231">
        <f>+Janvier!AM20</f>
        <v>1132.2115384615383</v>
      </c>
      <c r="AL20" s="231">
        <f>+Janvier!AN20</f>
        <v>686.1888111888112</v>
      </c>
      <c r="AM20" s="231">
        <f>+Janvier!AO20</f>
        <v>424.57932692307691</v>
      </c>
      <c r="AN20" s="231">
        <f>+Janvier!AP20</f>
        <v>849.15865384615381</v>
      </c>
      <c r="AO20" s="231">
        <f>+Janvier!AQ20</f>
        <v>424.57932692307691</v>
      </c>
      <c r="AP20" s="231">
        <f>+Janvier!AR20</f>
        <v>424.57932692307691</v>
      </c>
      <c r="AQ20" s="231">
        <f>+Janvier!AS20</f>
        <v>754.80769230769226</v>
      </c>
      <c r="AR20" s="32">
        <f t="shared" si="20"/>
        <v>0</v>
      </c>
      <c r="AS20" s="32">
        <f t="shared" si="21"/>
        <v>0</v>
      </c>
      <c r="AT20" s="32">
        <f t="shared" si="22"/>
        <v>0</v>
      </c>
      <c r="AU20" s="32">
        <f t="shared" si="23"/>
        <v>0</v>
      </c>
      <c r="AV20" s="32">
        <f t="shared" si="24"/>
        <v>0</v>
      </c>
      <c r="AW20" s="32">
        <f t="shared" si="25"/>
        <v>0</v>
      </c>
      <c r="AX20" s="32">
        <f t="shared" si="26"/>
        <v>0</v>
      </c>
      <c r="AY20" s="32">
        <f t="shared" si="27"/>
        <v>0</v>
      </c>
      <c r="AZ20" s="32">
        <f t="shared" si="28"/>
        <v>0</v>
      </c>
      <c r="BA20" s="33">
        <f t="shared" si="29"/>
        <v>0</v>
      </c>
    </row>
    <row r="21" spans="1:53" x14ac:dyDescent="0.3">
      <c r="A21" s="140" t="s">
        <v>91</v>
      </c>
      <c r="B21" s="160"/>
      <c r="C21" s="160"/>
      <c r="D21" s="252"/>
      <c r="E21" s="149"/>
      <c r="F21" s="150"/>
      <c r="G21" s="125"/>
      <c r="H21" s="123"/>
      <c r="I21" s="126"/>
      <c r="J21" s="125"/>
      <c r="K21" s="123"/>
      <c r="L21" s="124"/>
      <c r="M21" s="125"/>
      <c r="N21" s="123"/>
      <c r="O21" s="124"/>
      <c r="P21" s="125"/>
      <c r="Q21" s="123"/>
      <c r="R21" s="124"/>
      <c r="S21" s="125"/>
      <c r="T21" s="123"/>
      <c r="U21" s="124"/>
      <c r="V21" s="125"/>
      <c r="W21" s="123"/>
      <c r="X21" s="124"/>
      <c r="Y21" s="125"/>
      <c r="Z21" s="114"/>
      <c r="AA21" s="115"/>
      <c r="AB21" s="113"/>
      <c r="AC21" s="123"/>
      <c r="AD21" s="124"/>
      <c r="AE21" s="125"/>
      <c r="AF21" s="123"/>
      <c r="AG21" s="126"/>
      <c r="AH21" s="231">
        <f>+Janvier!AJ21</f>
        <v>46732.578750000001</v>
      </c>
      <c r="AI21" s="231">
        <f>+Janvier!AK21</f>
        <v>160746.05769230769</v>
      </c>
      <c r="AJ21" s="231">
        <f>+Janvier!AL21</f>
        <v>107056.87442307695</v>
      </c>
      <c r="AK21" s="231">
        <f>+Janvier!AM21</f>
        <v>107056.87442307695</v>
      </c>
      <c r="AL21" s="231">
        <f>+Janvier!AN21</f>
        <v>67513.344230769231</v>
      </c>
      <c r="AM21" s="231">
        <f>+Janvier!AO21</f>
        <v>40186.514423076922</v>
      </c>
      <c r="AN21" s="231">
        <f>+Janvier!AP21</f>
        <v>80373.028846153844</v>
      </c>
      <c r="AO21" s="231">
        <f>+Janvier!AQ21</f>
        <v>40186.514423076922</v>
      </c>
      <c r="AP21" s="231">
        <f>+Janvier!AR21</f>
        <v>40186.514423076922</v>
      </c>
      <c r="AQ21" s="231">
        <f>+Janvier!AS21</f>
        <v>72549.877500000002</v>
      </c>
      <c r="AR21" s="90">
        <f>ROUND(E21/(AH21/15),0)</f>
        <v>0</v>
      </c>
      <c r="AS21" s="90">
        <f t="shared" ref="AS21" si="30">ROUND(H21/(AI21/15),0)</f>
        <v>0</v>
      </c>
      <c r="AT21" s="90">
        <f t="shared" ref="AT21" si="31">ROUND(K21/(AJ21/15),0)</f>
        <v>0</v>
      </c>
      <c r="AU21" s="90">
        <f t="shared" ref="AU21" si="32">ROUND(N21/(AK21/15),0)</f>
        <v>0</v>
      </c>
      <c r="AV21" s="90">
        <f t="shared" ref="AV21" si="33">ROUND(Q21/(AL21/15),0)</f>
        <v>0</v>
      </c>
      <c r="AW21" s="90">
        <f t="shared" ref="AW21" si="34">ROUND(T21/(AM21/15),0)</f>
        <v>0</v>
      </c>
      <c r="AX21" s="90">
        <f t="shared" ref="AX21" si="35">ROUND(W21/(AN21/15),0)</f>
        <v>0</v>
      </c>
      <c r="AY21" s="90">
        <f t="shared" ref="AY21" si="36">ROUND(Z21/(AO21/15),0)</f>
        <v>0</v>
      </c>
      <c r="AZ21" s="90">
        <f t="shared" ref="AZ21" si="37">ROUND(AC21/(AP21/15),0)</f>
        <v>0</v>
      </c>
      <c r="BA21" s="91">
        <f t="shared" ref="BA21" si="38">ROUND(AF21/(AQ21/15),0)</f>
        <v>0</v>
      </c>
    </row>
    <row r="22" spans="1:53" x14ac:dyDescent="0.3">
      <c r="A22" s="184" t="s">
        <v>14</v>
      </c>
      <c r="B22" s="94"/>
      <c r="C22" s="94"/>
      <c r="D22" s="104"/>
      <c r="E22" s="96"/>
      <c r="F22" s="97"/>
      <c r="G22" s="95"/>
      <c r="H22" s="96"/>
      <c r="I22" s="105"/>
      <c r="J22" s="95"/>
      <c r="K22" s="96"/>
      <c r="L22" s="97"/>
      <c r="M22" s="95"/>
      <c r="N22" s="96"/>
      <c r="O22" s="97"/>
      <c r="P22" s="95"/>
      <c r="Q22" s="96"/>
      <c r="R22" s="97"/>
      <c r="S22" s="95"/>
      <c r="T22" s="96"/>
      <c r="U22" s="97"/>
      <c r="V22" s="95"/>
      <c r="W22" s="96"/>
      <c r="X22" s="97"/>
      <c r="Y22" s="95"/>
      <c r="Z22" s="96"/>
      <c r="AA22" s="100"/>
      <c r="AB22" s="95"/>
      <c r="AC22" s="96"/>
      <c r="AD22" s="97"/>
      <c r="AE22" s="95"/>
      <c r="AF22" s="96"/>
      <c r="AG22" s="105"/>
      <c r="AH22" s="231">
        <f>+Janvier!AJ22</f>
        <v>1770.3296703296703</v>
      </c>
      <c r="AI22" s="231">
        <f>+Janvier!AK22</f>
        <v>5507.6923076923067</v>
      </c>
      <c r="AJ22" s="231">
        <f>+Janvier!AL22</f>
        <v>4130.7692307692305</v>
      </c>
      <c r="AK22" s="231">
        <f>+Janvier!AM22</f>
        <v>4130.7692307692305</v>
      </c>
      <c r="AL22" s="231">
        <f>+Janvier!AN22</f>
        <v>2503.4965034965039</v>
      </c>
      <c r="AM22" s="231">
        <f>+Janvier!AO22</f>
        <v>1549.0384615384617</v>
      </c>
      <c r="AN22" s="231">
        <f>+Janvier!AP22</f>
        <v>3098.0769230769233</v>
      </c>
      <c r="AO22" s="231">
        <f>+Janvier!AQ22</f>
        <v>1549.0384615384617</v>
      </c>
      <c r="AP22" s="231">
        <f>+Janvier!AR22</f>
        <v>1549.0384615384617</v>
      </c>
      <c r="AQ22" s="231">
        <f>+Janvier!AS22</f>
        <v>2753.8461538461534</v>
      </c>
      <c r="AR22" s="90">
        <f t="shared" ref="AR22:AR29" si="39">ROUND(E22/(AH22/5),0)</f>
        <v>0</v>
      </c>
      <c r="AS22" s="90">
        <f t="shared" ref="AS22:AS29" si="40">ROUND(H22/(AI22/5),0)</f>
        <v>0</v>
      </c>
      <c r="AT22" s="90">
        <f t="shared" ref="AT22:AT29" si="41">ROUND(K22/(AJ22/5),0)</f>
        <v>0</v>
      </c>
      <c r="AU22" s="90">
        <f t="shared" ref="AU22:AU29" si="42">ROUND(N22/(AK22/5),0)</f>
        <v>0</v>
      </c>
      <c r="AV22" s="90">
        <f t="shared" ref="AV22:AV29" si="43">ROUND(Q22/(AL22/5),0)</f>
        <v>0</v>
      </c>
      <c r="AW22" s="90">
        <f t="shared" ref="AW22:AW29" si="44">ROUND(T22/(AM22/5),0)</f>
        <v>0</v>
      </c>
      <c r="AX22" s="90">
        <f t="shared" ref="AX22" si="45">ROUND(W22/(AN22/5),0)</f>
        <v>0</v>
      </c>
      <c r="AY22" s="90">
        <f t="shared" ref="AY22:AY29" si="46">ROUND(Z22/(AO22/5),0)</f>
        <v>0</v>
      </c>
      <c r="AZ22" s="90">
        <f t="shared" ref="AZ22:AZ29" si="47">ROUND(AC22/(AP22/5),0)</f>
        <v>0</v>
      </c>
      <c r="BA22" s="91">
        <f t="shared" ref="BA22:BA29" si="48">ROUND(AF22/(AQ22/5),0)</f>
        <v>0</v>
      </c>
    </row>
    <row r="23" spans="1:53" x14ac:dyDescent="0.3">
      <c r="A23" s="184" t="s">
        <v>15</v>
      </c>
      <c r="B23" s="94"/>
      <c r="C23" s="94"/>
      <c r="D23" s="104"/>
      <c r="E23" s="96"/>
      <c r="F23" s="97"/>
      <c r="G23" s="95"/>
      <c r="H23" s="96"/>
      <c r="I23" s="105"/>
      <c r="J23" s="95"/>
      <c r="K23" s="96"/>
      <c r="L23" s="97"/>
      <c r="M23" s="95"/>
      <c r="N23" s="96"/>
      <c r="O23" s="97"/>
      <c r="P23" s="95"/>
      <c r="Q23" s="96"/>
      <c r="R23" s="97"/>
      <c r="S23" s="95"/>
      <c r="T23" s="96"/>
      <c r="U23" s="97"/>
      <c r="V23" s="95"/>
      <c r="W23" s="96"/>
      <c r="X23" s="97"/>
      <c r="Y23" s="95"/>
      <c r="Z23" s="96"/>
      <c r="AA23" s="100"/>
      <c r="AB23" s="95"/>
      <c r="AC23" s="96"/>
      <c r="AD23" s="97"/>
      <c r="AE23" s="95"/>
      <c r="AF23" s="96"/>
      <c r="AG23" s="105"/>
      <c r="AH23" s="231">
        <f>+Janvier!AJ23</f>
        <v>768.21428571428578</v>
      </c>
      <c r="AI23" s="231">
        <f>+Janvier!AK23</f>
        <v>2390.0000000000005</v>
      </c>
      <c r="AJ23" s="231">
        <f>+Janvier!AL23</f>
        <v>1792.5000000000002</v>
      </c>
      <c r="AK23" s="231">
        <f>+Janvier!AM23</f>
        <v>1792.5000000000002</v>
      </c>
      <c r="AL23" s="231">
        <f>+Janvier!AN23</f>
        <v>1086.3636363636365</v>
      </c>
      <c r="AM23" s="231">
        <f>+Janvier!AO23</f>
        <v>672.1875</v>
      </c>
      <c r="AN23" s="231">
        <f>+Janvier!AP23</f>
        <v>1344.375</v>
      </c>
      <c r="AO23" s="231">
        <f>+Janvier!AQ23</f>
        <v>672.1875</v>
      </c>
      <c r="AP23" s="231">
        <f>+Janvier!AR23</f>
        <v>672.1875</v>
      </c>
      <c r="AQ23" s="231">
        <f>+Janvier!AS23</f>
        <v>1195.0000000000002</v>
      </c>
      <c r="AR23" s="90">
        <f t="shared" si="39"/>
        <v>0</v>
      </c>
      <c r="AS23" s="90">
        <f t="shared" si="40"/>
        <v>0</v>
      </c>
      <c r="AT23" s="90">
        <f t="shared" si="41"/>
        <v>0</v>
      </c>
      <c r="AU23" s="90">
        <f t="shared" si="42"/>
        <v>0</v>
      </c>
      <c r="AV23" s="90">
        <f t="shared" si="43"/>
        <v>0</v>
      </c>
      <c r="AW23" s="90">
        <f t="shared" si="44"/>
        <v>0</v>
      </c>
      <c r="AX23" s="90">
        <f>ROUND(W23/(AN23/5),0)</f>
        <v>0</v>
      </c>
      <c r="AY23" s="90">
        <f t="shared" si="46"/>
        <v>0</v>
      </c>
      <c r="AZ23" s="90">
        <f t="shared" si="47"/>
        <v>0</v>
      </c>
      <c r="BA23" s="91">
        <f t="shared" si="48"/>
        <v>0</v>
      </c>
    </row>
    <row r="24" spans="1:53" ht="14.25" customHeight="1" x14ac:dyDescent="0.3">
      <c r="A24" s="184" t="s">
        <v>16</v>
      </c>
      <c r="B24" s="94"/>
      <c r="C24" s="94"/>
      <c r="D24" s="104"/>
      <c r="E24" s="96"/>
      <c r="F24" s="97"/>
      <c r="G24" s="95"/>
      <c r="H24" s="96"/>
      <c r="I24" s="105"/>
      <c r="J24" s="95"/>
      <c r="K24" s="96"/>
      <c r="L24" s="97"/>
      <c r="M24" s="95"/>
      <c r="N24" s="96"/>
      <c r="O24" s="97"/>
      <c r="P24" s="95"/>
      <c r="Q24" s="96"/>
      <c r="R24" s="97"/>
      <c r="S24" s="95"/>
      <c r="T24" s="96"/>
      <c r="U24" s="97"/>
      <c r="V24" s="95"/>
      <c r="W24" s="96"/>
      <c r="X24" s="97"/>
      <c r="Y24" s="95"/>
      <c r="Z24" s="96"/>
      <c r="AA24" s="100"/>
      <c r="AB24" s="95"/>
      <c r="AC24" s="96"/>
      <c r="AD24" s="97"/>
      <c r="AE24" s="95"/>
      <c r="AF24" s="96"/>
      <c r="AG24" s="105"/>
      <c r="AH24" s="231">
        <f>+Janvier!AJ24</f>
        <v>3452.1428571428573</v>
      </c>
      <c r="AI24" s="231">
        <f>+Janvier!AK24</f>
        <v>10740.000000000002</v>
      </c>
      <c r="AJ24" s="231">
        <f>+Janvier!AL24</f>
        <v>8055</v>
      </c>
      <c r="AK24" s="231">
        <f>+Janvier!AM24</f>
        <v>8055</v>
      </c>
      <c r="AL24" s="231">
        <f>+Janvier!AN24</f>
        <v>4881.818181818182</v>
      </c>
      <c r="AM24" s="231">
        <f>+Janvier!AO24</f>
        <v>3020.6250000000005</v>
      </c>
      <c r="AN24" s="231">
        <f>+Janvier!AP24</f>
        <v>6041.2500000000009</v>
      </c>
      <c r="AO24" s="231">
        <f>+Janvier!AQ24</f>
        <v>3020.6250000000005</v>
      </c>
      <c r="AP24" s="231">
        <f>+Janvier!AR24</f>
        <v>3020.6250000000005</v>
      </c>
      <c r="AQ24" s="231">
        <f>+Janvier!AS24</f>
        <v>5370.0000000000009</v>
      </c>
      <c r="AR24" s="90">
        <f t="shared" si="39"/>
        <v>0</v>
      </c>
      <c r="AS24" s="90">
        <f t="shared" si="40"/>
        <v>0</v>
      </c>
      <c r="AT24" s="90">
        <f t="shared" si="41"/>
        <v>0</v>
      </c>
      <c r="AU24" s="90">
        <f t="shared" si="42"/>
        <v>0</v>
      </c>
      <c r="AV24" s="90">
        <f t="shared" si="43"/>
        <v>0</v>
      </c>
      <c r="AW24" s="90">
        <f>ROUND(T24/(AM24/5),0)</f>
        <v>0</v>
      </c>
      <c r="AX24" s="90">
        <f t="shared" ref="AX24:AX29" si="49">ROUND(W24/(AN24/5),0)</f>
        <v>0</v>
      </c>
      <c r="AY24" s="90">
        <f t="shared" si="46"/>
        <v>0</v>
      </c>
      <c r="AZ24" s="90">
        <f t="shared" si="47"/>
        <v>0</v>
      </c>
      <c r="BA24" s="91">
        <f t="shared" si="48"/>
        <v>0</v>
      </c>
    </row>
    <row r="25" spans="1:53" ht="14.25" customHeight="1" x14ac:dyDescent="0.3">
      <c r="A25" s="184" t="s">
        <v>17</v>
      </c>
      <c r="B25" s="94"/>
      <c r="C25" s="94"/>
      <c r="D25" s="104"/>
      <c r="E25" s="96"/>
      <c r="F25" s="97"/>
      <c r="G25" s="95"/>
      <c r="H25" s="96"/>
      <c r="I25" s="105"/>
      <c r="J25" s="95"/>
      <c r="K25" s="96"/>
      <c r="L25" s="97"/>
      <c r="M25" s="95"/>
      <c r="N25" s="96"/>
      <c r="O25" s="97"/>
      <c r="P25" s="95"/>
      <c r="Q25" s="96"/>
      <c r="R25" s="97"/>
      <c r="S25" s="95"/>
      <c r="T25" s="96"/>
      <c r="U25" s="97"/>
      <c r="V25" s="95"/>
      <c r="W25" s="96"/>
      <c r="X25" s="97"/>
      <c r="Y25" s="95"/>
      <c r="Z25" s="96"/>
      <c r="AA25" s="100"/>
      <c r="AB25" s="95"/>
      <c r="AC25" s="96"/>
      <c r="AD25" s="97"/>
      <c r="AE25" s="95"/>
      <c r="AF25" s="96"/>
      <c r="AG25" s="105"/>
      <c r="AH25" s="231">
        <f>+Janvier!AJ25</f>
        <v>3638.3241758241757</v>
      </c>
      <c r="AI25" s="231">
        <f>+Janvier!AK25</f>
        <v>11319.23076923077</v>
      </c>
      <c r="AJ25" s="231">
        <f>+Janvier!AL25</f>
        <v>8489.423076923078</v>
      </c>
      <c r="AK25" s="231">
        <f>+Janvier!AM25</f>
        <v>8489.423076923078</v>
      </c>
      <c r="AL25" s="231">
        <f>+Janvier!AN25</f>
        <v>5145.1048951048951</v>
      </c>
      <c r="AM25" s="231">
        <f>+Janvier!AO25</f>
        <v>3183.5336538461534</v>
      </c>
      <c r="AN25" s="231">
        <f>+Janvier!AP25</f>
        <v>6367.0673076923067</v>
      </c>
      <c r="AO25" s="231">
        <f>+Janvier!AQ25</f>
        <v>3183.5336538461534</v>
      </c>
      <c r="AP25" s="231">
        <f>+Janvier!AR25</f>
        <v>3183.5336538461534</v>
      </c>
      <c r="AQ25" s="231">
        <f>+Janvier!AS25</f>
        <v>5659.6153846153848</v>
      </c>
      <c r="AR25" s="90">
        <f t="shared" si="39"/>
        <v>0</v>
      </c>
      <c r="AS25" s="90">
        <f t="shared" si="40"/>
        <v>0</v>
      </c>
      <c r="AT25" s="90">
        <f t="shared" si="41"/>
        <v>0</v>
      </c>
      <c r="AU25" s="90">
        <f t="shared" si="42"/>
        <v>0</v>
      </c>
      <c r="AV25" s="90">
        <f>ROUND(Q25/(AL25/5),0)</f>
        <v>0</v>
      </c>
      <c r="AW25" s="90">
        <f t="shared" si="44"/>
        <v>0</v>
      </c>
      <c r="AX25" s="90">
        <f t="shared" si="49"/>
        <v>0</v>
      </c>
      <c r="AY25" s="90">
        <f t="shared" si="46"/>
        <v>0</v>
      </c>
      <c r="AZ25" s="90">
        <f t="shared" si="47"/>
        <v>0</v>
      </c>
      <c r="BA25" s="91">
        <f t="shared" si="48"/>
        <v>0</v>
      </c>
    </row>
    <row r="26" spans="1:53" ht="14.25" customHeight="1" x14ac:dyDescent="0.3">
      <c r="A26" s="184" t="s">
        <v>18</v>
      </c>
      <c r="B26" s="94"/>
      <c r="C26" s="94"/>
      <c r="D26" s="104"/>
      <c r="E26" s="96"/>
      <c r="F26" s="97"/>
      <c r="G26" s="95"/>
      <c r="H26" s="96"/>
      <c r="I26" s="105"/>
      <c r="J26" s="95"/>
      <c r="K26" s="96"/>
      <c r="L26" s="97"/>
      <c r="M26" s="95"/>
      <c r="N26" s="96"/>
      <c r="O26" s="97"/>
      <c r="P26" s="95"/>
      <c r="Q26" s="96"/>
      <c r="R26" s="97"/>
      <c r="S26" s="95"/>
      <c r="T26" s="96"/>
      <c r="U26" s="97"/>
      <c r="V26" s="95"/>
      <c r="W26" s="96"/>
      <c r="X26" s="97"/>
      <c r="Y26" s="95"/>
      <c r="Z26" s="96"/>
      <c r="AA26" s="100"/>
      <c r="AB26" s="95"/>
      <c r="AC26" s="96"/>
      <c r="AD26" s="97"/>
      <c r="AE26" s="95"/>
      <c r="AF26" s="96"/>
      <c r="AG26" s="105"/>
      <c r="AH26" s="231">
        <f>+Janvier!AJ26</f>
        <v>723.70879120879124</v>
      </c>
      <c r="AI26" s="231">
        <f>+Janvier!AK26</f>
        <v>2251.5384615384619</v>
      </c>
      <c r="AJ26" s="231">
        <f>+Janvier!AL26</f>
        <v>1688.6538461538464</v>
      </c>
      <c r="AK26" s="231">
        <f>+Janvier!AM26</f>
        <v>1688.6538461538464</v>
      </c>
      <c r="AL26" s="231">
        <f>+Janvier!AN26</f>
        <v>1023.4265734265737</v>
      </c>
      <c r="AM26" s="231">
        <f>+Janvier!AO26</f>
        <v>633.24519230769238</v>
      </c>
      <c r="AN26" s="231">
        <f>+Janvier!AP26</f>
        <v>1266.4903846153848</v>
      </c>
      <c r="AO26" s="231">
        <f>+Janvier!AQ26</f>
        <v>633.24519230769238</v>
      </c>
      <c r="AP26" s="231">
        <f>+Janvier!AR26</f>
        <v>633.24519230769238</v>
      </c>
      <c r="AQ26" s="231">
        <f>+Janvier!AS26</f>
        <v>1125.7692307692309</v>
      </c>
      <c r="AR26" s="90">
        <f t="shared" si="39"/>
        <v>0</v>
      </c>
      <c r="AS26" s="90">
        <f t="shared" si="40"/>
        <v>0</v>
      </c>
      <c r="AT26" s="90">
        <f t="shared" si="41"/>
        <v>0</v>
      </c>
      <c r="AU26" s="90">
        <f t="shared" si="42"/>
        <v>0</v>
      </c>
      <c r="AV26" s="90">
        <f t="shared" si="43"/>
        <v>0</v>
      </c>
      <c r="AW26" s="90">
        <f t="shared" si="44"/>
        <v>0</v>
      </c>
      <c r="AX26" s="90">
        <f t="shared" si="49"/>
        <v>0</v>
      </c>
      <c r="AY26" s="90">
        <f t="shared" si="46"/>
        <v>0</v>
      </c>
      <c r="AZ26" s="90">
        <f t="shared" si="47"/>
        <v>0</v>
      </c>
      <c r="BA26" s="91">
        <f t="shared" si="48"/>
        <v>0</v>
      </c>
    </row>
    <row r="27" spans="1:53" ht="14.25" customHeight="1" x14ac:dyDescent="0.3">
      <c r="A27" s="184" t="s">
        <v>19</v>
      </c>
      <c r="B27" s="94"/>
      <c r="C27" s="94"/>
      <c r="D27" s="104"/>
      <c r="E27" s="96"/>
      <c r="F27" s="97"/>
      <c r="G27" s="95"/>
      <c r="H27" s="96"/>
      <c r="I27" s="105"/>
      <c r="J27" s="95"/>
      <c r="K27" s="96"/>
      <c r="L27" s="97"/>
      <c r="M27" s="95"/>
      <c r="N27" s="96"/>
      <c r="O27" s="97"/>
      <c r="P27" s="95"/>
      <c r="Q27" s="96"/>
      <c r="R27" s="97"/>
      <c r="S27" s="95"/>
      <c r="T27" s="96"/>
      <c r="U27" s="97"/>
      <c r="V27" s="95"/>
      <c r="W27" s="96"/>
      <c r="X27" s="97"/>
      <c r="Y27" s="95"/>
      <c r="Z27" s="96"/>
      <c r="AA27" s="100"/>
      <c r="AB27" s="95"/>
      <c r="AC27" s="96"/>
      <c r="AD27" s="97"/>
      <c r="AE27" s="95"/>
      <c r="AF27" s="96"/>
      <c r="AG27" s="105"/>
      <c r="AH27" s="231">
        <f>+Janvier!AJ27</f>
        <v>1833.75</v>
      </c>
      <c r="AI27" s="231">
        <f>+Janvier!AK27</f>
        <v>5705.0000000000009</v>
      </c>
      <c r="AJ27" s="231">
        <f>+Janvier!AL27</f>
        <v>4278.7500000000009</v>
      </c>
      <c r="AK27" s="231">
        <f>+Janvier!AM27</f>
        <v>4278.7500000000009</v>
      </c>
      <c r="AL27" s="231">
        <f>+Janvier!AN27</f>
        <v>2593.1818181818189</v>
      </c>
      <c r="AM27" s="231">
        <f>+Janvier!AO27</f>
        <v>1604.53125</v>
      </c>
      <c r="AN27" s="231">
        <f>+Janvier!AP27</f>
        <v>3209.0625</v>
      </c>
      <c r="AO27" s="231">
        <f>+Janvier!AQ27</f>
        <v>1604.53125</v>
      </c>
      <c r="AP27" s="231">
        <f>+Janvier!AR27</f>
        <v>1604.53125</v>
      </c>
      <c r="AQ27" s="231">
        <f>+Janvier!AS27</f>
        <v>2852.5000000000005</v>
      </c>
      <c r="AR27" s="90">
        <f t="shared" si="39"/>
        <v>0</v>
      </c>
      <c r="AS27" s="90">
        <f t="shared" si="40"/>
        <v>0</v>
      </c>
      <c r="AT27" s="90">
        <f t="shared" si="41"/>
        <v>0</v>
      </c>
      <c r="AU27" s="90">
        <f t="shared" si="42"/>
        <v>0</v>
      </c>
      <c r="AV27" s="90">
        <f t="shared" si="43"/>
        <v>0</v>
      </c>
      <c r="AW27" s="90">
        <f t="shared" si="44"/>
        <v>0</v>
      </c>
      <c r="AX27" s="90">
        <f t="shared" si="49"/>
        <v>0</v>
      </c>
      <c r="AY27" s="90">
        <f t="shared" si="46"/>
        <v>0</v>
      </c>
      <c r="AZ27" s="90">
        <f t="shared" si="47"/>
        <v>0</v>
      </c>
      <c r="BA27" s="91">
        <f t="shared" si="48"/>
        <v>0</v>
      </c>
    </row>
    <row r="28" spans="1:53" ht="14.25" customHeight="1" x14ac:dyDescent="0.3">
      <c r="A28" s="184" t="s">
        <v>20</v>
      </c>
      <c r="B28" s="94"/>
      <c r="C28" s="94"/>
      <c r="D28" s="104"/>
      <c r="E28" s="96"/>
      <c r="F28" s="97"/>
      <c r="G28" s="95"/>
      <c r="H28" s="96"/>
      <c r="I28" s="105"/>
      <c r="J28" s="95"/>
      <c r="K28" s="96"/>
      <c r="L28" s="97"/>
      <c r="M28" s="95"/>
      <c r="N28" s="96"/>
      <c r="O28" s="97"/>
      <c r="P28" s="95"/>
      <c r="Q28" s="96"/>
      <c r="R28" s="97"/>
      <c r="S28" s="95"/>
      <c r="T28" s="96"/>
      <c r="U28" s="97"/>
      <c r="V28" s="95"/>
      <c r="W28" s="96"/>
      <c r="X28" s="97"/>
      <c r="Y28" s="95"/>
      <c r="Z28" s="96"/>
      <c r="AA28" s="100"/>
      <c r="AB28" s="95"/>
      <c r="AC28" s="96"/>
      <c r="AD28" s="97"/>
      <c r="AE28" s="95"/>
      <c r="AF28" s="96"/>
      <c r="AG28" s="105"/>
      <c r="AH28" s="231">
        <f>+Janvier!AJ28</f>
        <v>1230.2060439560439</v>
      </c>
      <c r="AI28" s="231">
        <f>+Janvier!AK28</f>
        <v>3827.3076923076924</v>
      </c>
      <c r="AJ28" s="231">
        <f>+Janvier!AL28</f>
        <v>2870.4807692307691</v>
      </c>
      <c r="AK28" s="231">
        <f>+Janvier!AM28</f>
        <v>2870.4807692307691</v>
      </c>
      <c r="AL28" s="231">
        <f>+Janvier!AN28</f>
        <v>1739.6853146853146</v>
      </c>
      <c r="AM28" s="231">
        <f>+Janvier!AO28</f>
        <v>1076.4302884615383</v>
      </c>
      <c r="AN28" s="231">
        <f>+Janvier!AP28</f>
        <v>2152.8605769230767</v>
      </c>
      <c r="AO28" s="231">
        <f>+Janvier!AQ28</f>
        <v>1076.4302884615383</v>
      </c>
      <c r="AP28" s="231">
        <f>+Janvier!AR28</f>
        <v>1076.4302884615383</v>
      </c>
      <c r="AQ28" s="231">
        <f>+Janvier!AS28</f>
        <v>1913.6538461538462</v>
      </c>
      <c r="AR28" s="90">
        <f t="shared" si="39"/>
        <v>0</v>
      </c>
      <c r="AS28" s="90">
        <f t="shared" si="40"/>
        <v>0</v>
      </c>
      <c r="AT28" s="90">
        <f t="shared" si="41"/>
        <v>0</v>
      </c>
      <c r="AU28" s="90">
        <f t="shared" si="42"/>
        <v>0</v>
      </c>
      <c r="AV28" s="90">
        <f t="shared" si="43"/>
        <v>0</v>
      </c>
      <c r="AW28" s="90">
        <f t="shared" si="44"/>
        <v>0</v>
      </c>
      <c r="AX28" s="90">
        <f t="shared" si="49"/>
        <v>0</v>
      </c>
      <c r="AY28" s="90">
        <f t="shared" si="46"/>
        <v>0</v>
      </c>
      <c r="AZ28" s="90">
        <f t="shared" si="47"/>
        <v>0</v>
      </c>
      <c r="BA28" s="91">
        <f t="shared" si="48"/>
        <v>0</v>
      </c>
    </row>
    <row r="29" spans="1:53" ht="15" thickBot="1" x14ac:dyDescent="0.35">
      <c r="A29" s="121" t="s">
        <v>79</v>
      </c>
      <c r="B29" s="143"/>
      <c r="C29" s="143"/>
      <c r="D29" s="161"/>
      <c r="E29" s="109"/>
      <c r="F29" s="110"/>
      <c r="G29" s="111"/>
      <c r="H29" s="109"/>
      <c r="I29" s="112"/>
      <c r="J29" s="111"/>
      <c r="K29" s="109"/>
      <c r="L29" s="110"/>
      <c r="M29" s="111"/>
      <c r="N29" s="109"/>
      <c r="O29" s="110"/>
      <c r="P29" s="111"/>
      <c r="Q29" s="109"/>
      <c r="R29" s="110"/>
      <c r="S29" s="111"/>
      <c r="T29" s="109"/>
      <c r="U29" s="110"/>
      <c r="V29" s="111"/>
      <c r="W29" s="109"/>
      <c r="X29" s="110"/>
      <c r="Y29" s="111"/>
      <c r="Z29" s="109"/>
      <c r="AA29" s="162"/>
      <c r="AB29" s="111"/>
      <c r="AC29" s="109"/>
      <c r="AD29" s="110"/>
      <c r="AE29" s="111"/>
      <c r="AF29" s="109"/>
      <c r="AG29" s="112"/>
      <c r="AH29" s="231">
        <f>+Janvier!AJ29</f>
        <v>1892.3489010989013</v>
      </c>
      <c r="AI29" s="231">
        <f>+Janvier!AK29</f>
        <v>5887.3076923076933</v>
      </c>
      <c r="AJ29" s="231">
        <f>+Janvier!AL29</f>
        <v>4415.4807692307704</v>
      </c>
      <c r="AK29" s="231">
        <f>+Janvier!AM29</f>
        <v>4415.4807692307704</v>
      </c>
      <c r="AL29" s="231">
        <f>+Janvier!AN29</f>
        <v>2676.0489510489515</v>
      </c>
      <c r="AM29" s="231">
        <f>+Janvier!AO29</f>
        <v>1655.8052884615383</v>
      </c>
      <c r="AN29" s="231">
        <f>+Janvier!AP29</f>
        <v>3311.6105769230767</v>
      </c>
      <c r="AO29" s="231">
        <f>+Janvier!AQ29</f>
        <v>1655.8052884615383</v>
      </c>
      <c r="AP29" s="231">
        <f>+Janvier!AR29</f>
        <v>1655.8052884615383</v>
      </c>
      <c r="AQ29" s="231">
        <f>+Janvier!AS29</f>
        <v>2943.6538461538466</v>
      </c>
      <c r="AR29" s="92">
        <f t="shared" si="39"/>
        <v>0</v>
      </c>
      <c r="AS29" s="92">
        <f t="shared" si="40"/>
        <v>0</v>
      </c>
      <c r="AT29" s="92">
        <f t="shared" si="41"/>
        <v>0</v>
      </c>
      <c r="AU29" s="92">
        <f t="shared" si="42"/>
        <v>0</v>
      </c>
      <c r="AV29" s="92">
        <f t="shared" si="43"/>
        <v>0</v>
      </c>
      <c r="AW29" s="92">
        <f t="shared" si="44"/>
        <v>0</v>
      </c>
      <c r="AX29" s="92">
        <f t="shared" si="49"/>
        <v>0</v>
      </c>
      <c r="AY29" s="92">
        <f t="shared" si="46"/>
        <v>0</v>
      </c>
      <c r="AZ29" s="92">
        <f t="shared" si="47"/>
        <v>0</v>
      </c>
      <c r="BA29" s="93">
        <f t="shared" si="48"/>
        <v>0</v>
      </c>
    </row>
    <row r="30" spans="1:53" ht="15" thickBot="1" x14ac:dyDescent="0.35">
      <c r="A30" s="140" t="s">
        <v>84</v>
      </c>
      <c r="B30" s="160"/>
      <c r="C30" s="160"/>
      <c r="D30" s="163"/>
      <c r="E30" s="163"/>
      <c r="F30" s="124"/>
      <c r="G30" s="254"/>
      <c r="H30" s="163"/>
      <c r="I30" s="124"/>
      <c r="J30" s="253"/>
      <c r="K30" s="163"/>
      <c r="L30" s="124"/>
      <c r="M30" s="163"/>
      <c r="N30" s="163"/>
      <c r="O30" s="124"/>
      <c r="P30" s="163"/>
      <c r="Q30" s="163"/>
      <c r="R30" s="124"/>
      <c r="S30" s="163"/>
      <c r="T30" s="163"/>
      <c r="U30" s="124"/>
      <c r="V30" s="163"/>
      <c r="W30" s="163"/>
      <c r="X30" s="124"/>
      <c r="Y30" s="163"/>
      <c r="Z30" s="163"/>
      <c r="AA30" s="115"/>
      <c r="AB30" s="163"/>
      <c r="AC30" s="163"/>
      <c r="AD30" s="124"/>
      <c r="AE30" s="163"/>
      <c r="AF30" s="163"/>
      <c r="AG30" s="126"/>
      <c r="AH30" s="231">
        <f>+Janvier!AJ30</f>
        <v>84811.691250000003</v>
      </c>
      <c r="AI30" s="231">
        <f>+Janvier!AK30</f>
        <v>294602.45192307694</v>
      </c>
      <c r="AJ30" s="231">
        <f>+Janvier!AL30</f>
        <v>196205.23298076927</v>
      </c>
      <c r="AK30" s="231">
        <f>+Janvier!AM30</f>
        <v>196205.23298076927</v>
      </c>
      <c r="AL30" s="231">
        <f>+Janvier!AN30</f>
        <v>123733.02980769234</v>
      </c>
      <c r="AM30" s="231">
        <f>+Janvier!AO30</f>
        <v>73650.612980769234</v>
      </c>
      <c r="AN30" s="231">
        <f>+Janvier!AP30</f>
        <v>147301.22596153847</v>
      </c>
      <c r="AO30" s="231">
        <f>+Janvier!AQ30</f>
        <v>73650.612980769234</v>
      </c>
      <c r="AP30" s="231">
        <f>+Janvier!AR30</f>
        <v>73650.612980769234</v>
      </c>
      <c r="AQ30" s="231">
        <f>+Janvier!AS30</f>
        <v>131665.70250000001</v>
      </c>
      <c r="AR30" s="90">
        <f>ROUND(E30/(AH30/15),0)</f>
        <v>0</v>
      </c>
      <c r="AS30" s="90">
        <f t="shared" ref="AS30" si="50">ROUND(H30/(AI30/15),0)</f>
        <v>0</v>
      </c>
      <c r="AT30" s="90">
        <f t="shared" ref="AT30" si="51">ROUND(K30/(AJ30/15),0)</f>
        <v>0</v>
      </c>
      <c r="AU30" s="90">
        <f t="shared" ref="AU30" si="52">ROUND(N30/(AK30/15),0)</f>
        <v>0</v>
      </c>
      <c r="AV30" s="90">
        <f t="shared" ref="AV30" si="53">ROUND(Q30/(AL30/15),0)</f>
        <v>0</v>
      </c>
      <c r="AW30" s="90">
        <f t="shared" ref="AW30" si="54">ROUND(T30/(AM30/15),0)</f>
        <v>0</v>
      </c>
      <c r="AX30" s="90">
        <f t="shared" ref="AX30" si="55">ROUND(W30/(AN30/15),0)</f>
        <v>0</v>
      </c>
      <c r="AY30" s="90">
        <f t="shared" ref="AY30" si="56">ROUND(Z30/(AO30/15),0)</f>
        <v>0</v>
      </c>
      <c r="AZ30" s="90">
        <f t="shared" ref="AZ30" si="57">ROUND(AC30/(AP30/15),0)</f>
        <v>0</v>
      </c>
      <c r="BA30" s="91">
        <f t="shared" ref="BA30" si="58">ROUND(AF30/(AQ30/15),0)</f>
        <v>0</v>
      </c>
    </row>
    <row r="31" spans="1:53" ht="15" thickBot="1" x14ac:dyDescent="0.35">
      <c r="A31" s="184" t="s">
        <v>35</v>
      </c>
      <c r="B31" s="160"/>
      <c r="C31" s="94"/>
      <c r="D31" s="106"/>
      <c r="E31" s="106"/>
      <c r="F31" s="97"/>
      <c r="G31" s="116"/>
      <c r="H31" s="106"/>
      <c r="I31" s="97"/>
      <c r="J31" s="236"/>
      <c r="K31" s="106"/>
      <c r="L31" s="97"/>
      <c r="M31" s="106"/>
      <c r="N31" s="106"/>
      <c r="O31" s="97"/>
      <c r="P31" s="106"/>
      <c r="Q31" s="106"/>
      <c r="R31" s="97"/>
      <c r="S31" s="106"/>
      <c r="T31" s="106"/>
      <c r="U31" s="97"/>
      <c r="V31" s="106"/>
      <c r="W31" s="106"/>
      <c r="X31" s="97"/>
      <c r="Y31" s="106"/>
      <c r="Z31" s="106"/>
      <c r="AA31" s="100"/>
      <c r="AB31" s="106"/>
      <c r="AC31" s="106"/>
      <c r="AD31" s="97"/>
      <c r="AE31" s="106"/>
      <c r="AF31" s="106"/>
      <c r="AG31" s="105"/>
      <c r="AH31" s="231">
        <f>+Janvier!AJ31</f>
        <v>2028.8324175824175</v>
      </c>
      <c r="AI31" s="231">
        <f>+Janvier!AK31</f>
        <v>6311.9230769230771</v>
      </c>
      <c r="AJ31" s="231">
        <f>+Janvier!AL31</f>
        <v>4733.9423076923076</v>
      </c>
      <c r="AK31" s="231">
        <f>+Janvier!AM31</f>
        <v>4733.9423076923076</v>
      </c>
      <c r="AL31" s="231">
        <f>+Janvier!AN31</f>
        <v>2869.0559440559441</v>
      </c>
      <c r="AM31" s="231">
        <f>+Janvier!AO31</f>
        <v>1775.2283653846155</v>
      </c>
      <c r="AN31" s="231">
        <f>+Janvier!AP31</f>
        <v>3550.4567307692309</v>
      </c>
      <c r="AO31" s="231">
        <f>+Janvier!AQ31</f>
        <v>1775.2283653846155</v>
      </c>
      <c r="AP31" s="231">
        <f>+Janvier!AR31</f>
        <v>1775.2283653846155</v>
      </c>
      <c r="AQ31" s="231">
        <f>+Janvier!AS31</f>
        <v>3155.9615384615386</v>
      </c>
      <c r="AR31" s="16">
        <f t="shared" ref="AR31:AR39" si="59">ROUND(E31/(AH31/5),0)</f>
        <v>0</v>
      </c>
      <c r="AS31" s="16">
        <f t="shared" ref="AS31:AS39" si="60">ROUND(H31/(AI31/5),0)</f>
        <v>0</v>
      </c>
      <c r="AT31" s="16">
        <f t="shared" ref="AT31:AT39" si="61">ROUND(K31/(AJ31/5),0)</f>
        <v>0</v>
      </c>
      <c r="AU31" s="16">
        <f t="shared" ref="AU31:AU39" si="62">ROUND(N31/(AK31/5),0)</f>
        <v>0</v>
      </c>
      <c r="AV31" s="16">
        <f t="shared" ref="AV31:AV39" si="63">ROUND(Q31/(AL31/5),0)</f>
        <v>0</v>
      </c>
      <c r="AW31" s="16">
        <f t="shared" ref="AW31:AW39" si="64">ROUND(T31/(AM31/5),0)</f>
        <v>0</v>
      </c>
      <c r="AX31" s="16">
        <f t="shared" ref="AX31:AX39" si="65">ROUND(W31/(AN31/5),0)</f>
        <v>0</v>
      </c>
      <c r="AY31" s="16">
        <f t="shared" ref="AY31:AY39" si="66">ROUND(Z31/(AO31/5),0)</f>
        <v>0</v>
      </c>
      <c r="AZ31" s="16">
        <f t="shared" ref="AZ31:AZ39" si="67">ROUND(AC31/(AP31/5),0)</f>
        <v>0</v>
      </c>
      <c r="BA31" s="17">
        <f t="shared" ref="BA31:BA39" si="68">ROUND(AF31/(AQ31/5),0)</f>
        <v>0</v>
      </c>
    </row>
    <row r="32" spans="1:53" ht="15" thickBot="1" x14ac:dyDescent="0.35">
      <c r="A32" s="184" t="s">
        <v>36</v>
      </c>
      <c r="B32" s="160"/>
      <c r="C32" s="94"/>
      <c r="D32" s="106"/>
      <c r="E32" s="96"/>
      <c r="F32" s="97"/>
      <c r="G32" s="116"/>
      <c r="H32" s="96"/>
      <c r="I32" s="97"/>
      <c r="J32" s="236"/>
      <c r="K32" s="96"/>
      <c r="L32" s="97"/>
      <c r="M32" s="106"/>
      <c r="N32" s="96"/>
      <c r="O32" s="97"/>
      <c r="P32" s="106"/>
      <c r="Q32" s="96"/>
      <c r="R32" s="97"/>
      <c r="S32" s="106"/>
      <c r="T32" s="96"/>
      <c r="U32" s="97"/>
      <c r="V32" s="106"/>
      <c r="W32" s="96"/>
      <c r="X32" s="97"/>
      <c r="Y32" s="106"/>
      <c r="Z32" s="96"/>
      <c r="AA32" s="100"/>
      <c r="AB32" s="106"/>
      <c r="AC32" s="96"/>
      <c r="AD32" s="97"/>
      <c r="AE32" s="106"/>
      <c r="AF32" s="96"/>
      <c r="AG32" s="105"/>
      <c r="AH32" s="231">
        <f>+Janvier!AJ32</f>
        <v>431.0851648351649</v>
      </c>
      <c r="AI32" s="231">
        <f>+Janvier!AK32</f>
        <v>1341.1538461538464</v>
      </c>
      <c r="AJ32" s="231">
        <f>+Janvier!AL32</f>
        <v>1005.8653846153848</v>
      </c>
      <c r="AK32" s="231">
        <f>+Janvier!AM32</f>
        <v>1005.8653846153848</v>
      </c>
      <c r="AL32" s="231">
        <f>+Janvier!AN32</f>
        <v>609.61538461538464</v>
      </c>
      <c r="AM32" s="231">
        <f>+Janvier!AO32</f>
        <v>377.19951923076917</v>
      </c>
      <c r="AN32" s="231">
        <f>+Janvier!AP32</f>
        <v>754.39903846153834</v>
      </c>
      <c r="AO32" s="231">
        <f>+Janvier!AQ32</f>
        <v>377.19951923076917</v>
      </c>
      <c r="AP32" s="231">
        <f>+Janvier!AR32</f>
        <v>377.19951923076917</v>
      </c>
      <c r="AQ32" s="231">
        <f>+Janvier!AS32</f>
        <v>670.57692307692321</v>
      </c>
      <c r="AR32" s="16">
        <f t="shared" si="59"/>
        <v>0</v>
      </c>
      <c r="AS32" s="16">
        <f t="shared" si="60"/>
        <v>0</v>
      </c>
      <c r="AT32" s="16">
        <f t="shared" si="61"/>
        <v>0</v>
      </c>
      <c r="AU32" s="16">
        <f t="shared" si="62"/>
        <v>0</v>
      </c>
      <c r="AV32" s="16">
        <f t="shared" si="63"/>
        <v>0</v>
      </c>
      <c r="AW32" s="16">
        <f t="shared" si="64"/>
        <v>0</v>
      </c>
      <c r="AX32" s="16">
        <f t="shared" si="65"/>
        <v>0</v>
      </c>
      <c r="AY32" s="16">
        <f t="shared" si="66"/>
        <v>0</v>
      </c>
      <c r="AZ32" s="16">
        <f t="shared" si="67"/>
        <v>0</v>
      </c>
      <c r="BA32" s="17">
        <f t="shared" si="68"/>
        <v>0</v>
      </c>
    </row>
    <row r="33" spans="1:53" ht="15" thickBot="1" x14ac:dyDescent="0.35">
      <c r="A33" s="184" t="s">
        <v>37</v>
      </c>
      <c r="B33" s="160"/>
      <c r="C33" s="94"/>
      <c r="D33" s="106"/>
      <c r="E33" s="106"/>
      <c r="F33" s="97"/>
      <c r="G33" s="116"/>
      <c r="H33" s="106"/>
      <c r="I33" s="97"/>
      <c r="J33" s="236"/>
      <c r="K33" s="106"/>
      <c r="L33" s="97"/>
      <c r="M33" s="106"/>
      <c r="N33" s="106"/>
      <c r="O33" s="97"/>
      <c r="P33" s="106"/>
      <c r="Q33" s="106"/>
      <c r="R33" s="97"/>
      <c r="S33" s="106"/>
      <c r="T33" s="106"/>
      <c r="U33" s="97"/>
      <c r="V33" s="106"/>
      <c r="W33" s="106"/>
      <c r="X33" s="97"/>
      <c r="Y33" s="106"/>
      <c r="Z33" s="106"/>
      <c r="AA33" s="100"/>
      <c r="AB33" s="106"/>
      <c r="AC33" s="106"/>
      <c r="AD33" s="97"/>
      <c r="AE33" s="106"/>
      <c r="AF33" s="106"/>
      <c r="AG33" s="105"/>
      <c r="AH33" s="231">
        <f>+Janvier!AJ33</f>
        <v>5199.2307692307695</v>
      </c>
      <c r="AI33" s="231">
        <f>+Janvier!AK33</f>
        <v>16175.384615384613</v>
      </c>
      <c r="AJ33" s="231">
        <f>+Janvier!AL33</f>
        <v>12131.538461538461</v>
      </c>
      <c r="AK33" s="231">
        <f>+Janvier!AM33</f>
        <v>12131.538461538461</v>
      </c>
      <c r="AL33" s="231">
        <f>+Janvier!AN33</f>
        <v>7352.4475524475547</v>
      </c>
      <c r="AM33" s="231">
        <f>+Janvier!AO33</f>
        <v>4549.3269230769229</v>
      </c>
      <c r="AN33" s="231">
        <f>+Janvier!AP33</f>
        <v>9098.6538461538457</v>
      </c>
      <c r="AO33" s="231">
        <f>+Janvier!AQ33</f>
        <v>4549.3269230769229</v>
      </c>
      <c r="AP33" s="231">
        <f>+Janvier!AR33</f>
        <v>4549.3269230769229</v>
      </c>
      <c r="AQ33" s="231">
        <f>+Janvier!AS33</f>
        <v>8087.6923076923067</v>
      </c>
      <c r="AR33" s="16">
        <f t="shared" si="59"/>
        <v>0</v>
      </c>
      <c r="AS33" s="16">
        <f t="shared" si="60"/>
        <v>0</v>
      </c>
      <c r="AT33" s="16">
        <f t="shared" si="61"/>
        <v>0</v>
      </c>
      <c r="AU33" s="16">
        <f t="shared" si="62"/>
        <v>0</v>
      </c>
      <c r="AV33" s="16">
        <f t="shared" si="63"/>
        <v>0</v>
      </c>
      <c r="AW33" s="16">
        <f t="shared" si="64"/>
        <v>0</v>
      </c>
      <c r="AX33" s="16">
        <f t="shared" si="65"/>
        <v>0</v>
      </c>
      <c r="AY33" s="16">
        <f t="shared" si="66"/>
        <v>0</v>
      </c>
      <c r="AZ33" s="16">
        <f t="shared" si="67"/>
        <v>0</v>
      </c>
      <c r="BA33" s="17">
        <f t="shared" si="68"/>
        <v>0</v>
      </c>
    </row>
    <row r="34" spans="1:53" ht="15" thickBot="1" x14ac:dyDescent="0.35">
      <c r="A34" s="184" t="s">
        <v>38</v>
      </c>
      <c r="B34" s="160"/>
      <c r="C34" s="94"/>
      <c r="D34" s="106"/>
      <c r="E34" s="106"/>
      <c r="F34" s="97"/>
      <c r="G34" s="116"/>
      <c r="H34" s="106"/>
      <c r="I34" s="97"/>
      <c r="J34" s="236"/>
      <c r="K34" s="106"/>
      <c r="L34" s="97"/>
      <c r="M34" s="106"/>
      <c r="N34" s="106"/>
      <c r="O34" s="97"/>
      <c r="P34" s="106"/>
      <c r="Q34" s="106"/>
      <c r="R34" s="97"/>
      <c r="S34" s="106"/>
      <c r="T34" s="106"/>
      <c r="U34" s="97"/>
      <c r="V34" s="106"/>
      <c r="W34" s="106"/>
      <c r="X34" s="97"/>
      <c r="Y34" s="106"/>
      <c r="Z34" s="106"/>
      <c r="AA34" s="100"/>
      <c r="AB34" s="106"/>
      <c r="AC34" s="106"/>
      <c r="AD34" s="97"/>
      <c r="AE34" s="106"/>
      <c r="AF34" s="106"/>
      <c r="AG34" s="105"/>
      <c r="AH34" s="231">
        <f>+Janvier!AJ34</f>
        <v>1323.9148351648353</v>
      </c>
      <c r="AI34" s="231">
        <f>+Janvier!AK34</f>
        <v>4118.8461538461534</v>
      </c>
      <c r="AJ34" s="231">
        <f>+Janvier!AL34</f>
        <v>3089.1346153846152</v>
      </c>
      <c r="AK34" s="231">
        <f>+Janvier!AM34</f>
        <v>3089.1346153846152</v>
      </c>
      <c r="AL34" s="231">
        <f>+Janvier!AN34</f>
        <v>1872.2027972027972</v>
      </c>
      <c r="AM34" s="231">
        <f>+Janvier!AO34</f>
        <v>1158.4254807692307</v>
      </c>
      <c r="AN34" s="231">
        <f>+Janvier!AP34</f>
        <v>2316.8509615384614</v>
      </c>
      <c r="AO34" s="231">
        <f>+Janvier!AQ34</f>
        <v>1158.4254807692307</v>
      </c>
      <c r="AP34" s="231">
        <f>+Janvier!AR34</f>
        <v>1158.4254807692307</v>
      </c>
      <c r="AQ34" s="231">
        <f>+Janvier!AS34</f>
        <v>2059.4230769230767</v>
      </c>
      <c r="AR34" s="16">
        <f t="shared" si="59"/>
        <v>0</v>
      </c>
      <c r="AS34" s="16">
        <f t="shared" si="60"/>
        <v>0</v>
      </c>
      <c r="AT34" s="16">
        <f t="shared" si="61"/>
        <v>0</v>
      </c>
      <c r="AU34" s="16">
        <f t="shared" si="62"/>
        <v>0</v>
      </c>
      <c r="AV34" s="16">
        <f t="shared" si="63"/>
        <v>0</v>
      </c>
      <c r="AW34" s="16">
        <f t="shared" si="64"/>
        <v>0</v>
      </c>
      <c r="AX34" s="16">
        <f t="shared" si="65"/>
        <v>0</v>
      </c>
      <c r="AY34" s="16">
        <f t="shared" si="66"/>
        <v>0</v>
      </c>
      <c r="AZ34" s="16">
        <f t="shared" si="67"/>
        <v>0</v>
      </c>
      <c r="BA34" s="17">
        <f t="shared" si="68"/>
        <v>0</v>
      </c>
    </row>
    <row r="35" spans="1:53" ht="15" thickBot="1" x14ac:dyDescent="0.35">
      <c r="A35" s="184" t="s">
        <v>39</v>
      </c>
      <c r="B35" s="160"/>
      <c r="C35" s="94"/>
      <c r="D35" s="106"/>
      <c r="E35" s="106"/>
      <c r="F35" s="97"/>
      <c r="G35" s="116"/>
      <c r="H35" s="106"/>
      <c r="I35" s="97"/>
      <c r="J35" s="236"/>
      <c r="K35" s="106"/>
      <c r="L35" s="97"/>
      <c r="M35" s="106"/>
      <c r="N35" s="106"/>
      <c r="O35" s="97"/>
      <c r="P35" s="106"/>
      <c r="Q35" s="106"/>
      <c r="R35" s="97"/>
      <c r="S35" s="106"/>
      <c r="T35" s="106"/>
      <c r="U35" s="97"/>
      <c r="V35" s="106"/>
      <c r="W35" s="106"/>
      <c r="X35" s="97"/>
      <c r="Y35" s="106"/>
      <c r="Z35" s="106"/>
      <c r="AA35" s="100"/>
      <c r="AB35" s="106"/>
      <c r="AC35" s="106"/>
      <c r="AD35" s="97"/>
      <c r="AE35" s="106"/>
      <c r="AF35" s="106"/>
      <c r="AG35" s="105"/>
      <c r="AH35" s="231">
        <f>+Janvier!AJ35</f>
        <v>4319.1346153846152</v>
      </c>
      <c r="AI35" s="231">
        <f>+Janvier!AK35</f>
        <v>13437.307692307693</v>
      </c>
      <c r="AJ35" s="231">
        <f>+Janvier!AL35</f>
        <v>10077.98076923077</v>
      </c>
      <c r="AK35" s="231">
        <f>+Janvier!AM35</f>
        <v>10077.98076923077</v>
      </c>
      <c r="AL35" s="231">
        <f>+Janvier!AN35</f>
        <v>6107.8671328671326</v>
      </c>
      <c r="AM35" s="231">
        <f>+Janvier!AO35</f>
        <v>3779.2427884615386</v>
      </c>
      <c r="AN35" s="231">
        <f>+Janvier!AP35</f>
        <v>7558.4855769230771</v>
      </c>
      <c r="AO35" s="231">
        <f>+Janvier!AQ35</f>
        <v>3779.2427884615386</v>
      </c>
      <c r="AP35" s="231">
        <f>+Janvier!AR35</f>
        <v>3779.2427884615386</v>
      </c>
      <c r="AQ35" s="231">
        <f>+Janvier!AS35</f>
        <v>6718.6538461538466</v>
      </c>
      <c r="AR35" s="16">
        <f t="shared" si="59"/>
        <v>0</v>
      </c>
      <c r="AS35" s="16">
        <f t="shared" si="60"/>
        <v>0</v>
      </c>
      <c r="AT35" s="16">
        <f t="shared" si="61"/>
        <v>0</v>
      </c>
      <c r="AU35" s="16">
        <f t="shared" si="62"/>
        <v>0</v>
      </c>
      <c r="AV35" s="16">
        <f t="shared" si="63"/>
        <v>0</v>
      </c>
      <c r="AW35" s="16">
        <f t="shared" si="64"/>
        <v>0</v>
      </c>
      <c r="AX35" s="16">
        <f t="shared" si="65"/>
        <v>0</v>
      </c>
      <c r="AY35" s="16">
        <f t="shared" si="66"/>
        <v>0</v>
      </c>
      <c r="AZ35" s="16">
        <f t="shared" si="67"/>
        <v>0</v>
      </c>
      <c r="BA35" s="17">
        <f t="shared" si="68"/>
        <v>0</v>
      </c>
    </row>
    <row r="36" spans="1:53" ht="15" thickBot="1" x14ac:dyDescent="0.35">
      <c r="A36" s="184" t="s">
        <v>40</v>
      </c>
      <c r="B36" s="160"/>
      <c r="C36" s="94"/>
      <c r="D36" s="106"/>
      <c r="E36" s="106"/>
      <c r="F36" s="97"/>
      <c r="G36" s="116"/>
      <c r="H36" s="106"/>
      <c r="I36" s="97"/>
      <c r="J36" s="236"/>
      <c r="K36" s="106"/>
      <c r="L36" s="97"/>
      <c r="M36" s="106"/>
      <c r="N36" s="106"/>
      <c r="O36" s="97"/>
      <c r="P36" s="106"/>
      <c r="Q36" s="106"/>
      <c r="R36" s="97"/>
      <c r="S36" s="106"/>
      <c r="T36" s="106"/>
      <c r="U36" s="97"/>
      <c r="V36" s="106"/>
      <c r="W36" s="106"/>
      <c r="X36" s="97"/>
      <c r="Y36" s="106"/>
      <c r="Z36" s="106"/>
      <c r="AA36" s="100"/>
      <c r="AB36" s="106"/>
      <c r="AC36" s="106"/>
      <c r="AD36" s="97"/>
      <c r="AE36" s="106"/>
      <c r="AF36" s="106"/>
      <c r="AG36" s="105"/>
      <c r="AH36" s="231">
        <f>+Janvier!AJ36</f>
        <v>3701.7445054945065</v>
      </c>
      <c r="AI36" s="231">
        <f>+Janvier!AK36</f>
        <v>11516.538461538461</v>
      </c>
      <c r="AJ36" s="231">
        <f>+Janvier!AL36</f>
        <v>8637.4038461538476</v>
      </c>
      <c r="AK36" s="231">
        <f>+Janvier!AM36</f>
        <v>8637.4038461538476</v>
      </c>
      <c r="AL36" s="231">
        <f>+Janvier!AN36</f>
        <v>5234.7902097902097</v>
      </c>
      <c r="AM36" s="231">
        <f>+Janvier!AO36</f>
        <v>3239.0264423076924</v>
      </c>
      <c r="AN36" s="231">
        <f>+Janvier!AP36</f>
        <v>6478.0528846153848</v>
      </c>
      <c r="AO36" s="231">
        <f>+Janvier!AQ36</f>
        <v>3239.0264423076924</v>
      </c>
      <c r="AP36" s="231">
        <f>+Janvier!AR36</f>
        <v>3239.0264423076924</v>
      </c>
      <c r="AQ36" s="231">
        <f>+Janvier!AS36</f>
        <v>5758.2692307692305</v>
      </c>
      <c r="AR36" s="16">
        <f t="shared" si="59"/>
        <v>0</v>
      </c>
      <c r="AS36" s="16">
        <f t="shared" si="60"/>
        <v>0</v>
      </c>
      <c r="AT36" s="16">
        <f t="shared" si="61"/>
        <v>0</v>
      </c>
      <c r="AU36" s="16">
        <f t="shared" si="62"/>
        <v>0</v>
      </c>
      <c r="AV36" s="16">
        <f t="shared" si="63"/>
        <v>0</v>
      </c>
      <c r="AW36" s="16">
        <f t="shared" si="64"/>
        <v>0</v>
      </c>
      <c r="AX36" s="16">
        <f t="shared" si="65"/>
        <v>0</v>
      </c>
      <c r="AY36" s="16">
        <f t="shared" si="66"/>
        <v>0</v>
      </c>
      <c r="AZ36" s="16">
        <f t="shared" si="67"/>
        <v>0</v>
      </c>
      <c r="BA36" s="17">
        <f t="shared" si="68"/>
        <v>0</v>
      </c>
    </row>
    <row r="37" spans="1:53" ht="15" thickBot="1" x14ac:dyDescent="0.35">
      <c r="A37" s="184" t="s">
        <v>41</v>
      </c>
      <c r="B37" s="160"/>
      <c r="C37" s="94"/>
      <c r="D37" s="106"/>
      <c r="E37" s="106"/>
      <c r="F37" s="97"/>
      <c r="G37" s="116"/>
      <c r="H37" s="106"/>
      <c r="I37" s="97"/>
      <c r="J37" s="236"/>
      <c r="K37" s="106"/>
      <c r="L37" s="97"/>
      <c r="M37" s="106"/>
      <c r="N37" s="106"/>
      <c r="O37" s="97"/>
      <c r="P37" s="106"/>
      <c r="Q37" s="106"/>
      <c r="R37" s="97"/>
      <c r="S37" s="106"/>
      <c r="T37" s="106"/>
      <c r="U37" s="97"/>
      <c r="V37" s="106"/>
      <c r="W37" s="106"/>
      <c r="X37" s="97"/>
      <c r="Y37" s="106"/>
      <c r="Z37" s="106"/>
      <c r="AA37" s="100"/>
      <c r="AB37" s="106"/>
      <c r="AC37" s="106"/>
      <c r="AD37" s="97"/>
      <c r="AE37" s="106"/>
      <c r="AF37" s="106"/>
      <c r="AG37" s="105"/>
      <c r="AH37" s="231">
        <f>+Janvier!AJ37</f>
        <v>2204.0109890109893</v>
      </c>
      <c r="AI37" s="231">
        <f>+Janvier!AK37</f>
        <v>6856.9230769230771</v>
      </c>
      <c r="AJ37" s="231">
        <f>+Janvier!AL37</f>
        <v>5142.6923076923085</v>
      </c>
      <c r="AK37" s="231">
        <f>+Janvier!AM37</f>
        <v>5142.6923076923085</v>
      </c>
      <c r="AL37" s="231">
        <f>+Janvier!AN37</f>
        <v>3116.7832167832171</v>
      </c>
      <c r="AM37" s="231">
        <f>+Janvier!AO37</f>
        <v>1928.5096153846155</v>
      </c>
      <c r="AN37" s="231">
        <f>+Janvier!AP37</f>
        <v>3857.0192307692309</v>
      </c>
      <c r="AO37" s="231">
        <f>+Janvier!AQ37</f>
        <v>1928.5096153846155</v>
      </c>
      <c r="AP37" s="231">
        <f>+Janvier!AR37</f>
        <v>1928.5096153846155</v>
      </c>
      <c r="AQ37" s="231">
        <f>+Janvier!AS37</f>
        <v>3428.4615384615386</v>
      </c>
      <c r="AR37" s="16">
        <f t="shared" si="59"/>
        <v>0</v>
      </c>
      <c r="AS37" s="16">
        <f t="shared" si="60"/>
        <v>0</v>
      </c>
      <c r="AT37" s="16">
        <f t="shared" si="61"/>
        <v>0</v>
      </c>
      <c r="AU37" s="16">
        <f t="shared" si="62"/>
        <v>0</v>
      </c>
      <c r="AV37" s="16">
        <f t="shared" si="63"/>
        <v>0</v>
      </c>
      <c r="AW37" s="16">
        <f t="shared" si="64"/>
        <v>0</v>
      </c>
      <c r="AX37" s="16">
        <f t="shared" si="65"/>
        <v>0</v>
      </c>
      <c r="AY37" s="16">
        <f t="shared" si="66"/>
        <v>0</v>
      </c>
      <c r="AZ37" s="16">
        <f t="shared" si="67"/>
        <v>0</v>
      </c>
      <c r="BA37" s="17">
        <f t="shared" si="68"/>
        <v>0</v>
      </c>
    </row>
    <row r="38" spans="1:53" ht="15" thickBot="1" x14ac:dyDescent="0.35">
      <c r="A38" s="184" t="s">
        <v>42</v>
      </c>
      <c r="B38" s="160"/>
      <c r="C38" s="94"/>
      <c r="D38" s="106"/>
      <c r="E38" s="106"/>
      <c r="F38" s="97"/>
      <c r="G38" s="116"/>
      <c r="H38" s="106"/>
      <c r="I38" s="97"/>
      <c r="J38" s="236"/>
      <c r="K38" s="106"/>
      <c r="L38" s="97"/>
      <c r="M38" s="106"/>
      <c r="N38" s="106"/>
      <c r="O38" s="97"/>
      <c r="P38" s="106"/>
      <c r="Q38" s="106"/>
      <c r="R38" s="97"/>
      <c r="S38" s="106"/>
      <c r="T38" s="106"/>
      <c r="U38" s="97"/>
      <c r="V38" s="106"/>
      <c r="W38" s="106"/>
      <c r="X38" s="97"/>
      <c r="Y38" s="106"/>
      <c r="Z38" s="106"/>
      <c r="AA38" s="100"/>
      <c r="AB38" s="106"/>
      <c r="AC38" s="106"/>
      <c r="AD38" s="97"/>
      <c r="AE38" s="106"/>
      <c r="AF38" s="106"/>
      <c r="AG38" s="105"/>
      <c r="AH38" s="231">
        <f>+Janvier!AJ38</f>
        <v>4595.1923076923076</v>
      </c>
      <c r="AI38" s="231">
        <f>+Janvier!AK38</f>
        <v>14296.153846153846</v>
      </c>
      <c r="AJ38" s="231">
        <f>+Janvier!AL38</f>
        <v>10722.115384615387</v>
      </c>
      <c r="AK38" s="231">
        <f>+Janvier!AM38</f>
        <v>10722.115384615387</v>
      </c>
      <c r="AL38" s="231">
        <f>+Janvier!AN38</f>
        <v>6498.2517482517496</v>
      </c>
      <c r="AM38" s="231">
        <f>+Janvier!AO38</f>
        <v>4020.7932692307691</v>
      </c>
      <c r="AN38" s="231">
        <f>+Janvier!AP38</f>
        <v>8041.5865384615381</v>
      </c>
      <c r="AO38" s="231">
        <f>+Janvier!AQ38</f>
        <v>4020.7932692307691</v>
      </c>
      <c r="AP38" s="231">
        <f>+Janvier!AR38</f>
        <v>4020.7932692307691</v>
      </c>
      <c r="AQ38" s="231">
        <f>+Janvier!AS38</f>
        <v>7148.0769230769229</v>
      </c>
      <c r="AR38" s="16">
        <f t="shared" si="59"/>
        <v>0</v>
      </c>
      <c r="AS38" s="16">
        <f t="shared" si="60"/>
        <v>0</v>
      </c>
      <c r="AT38" s="16">
        <f t="shared" si="61"/>
        <v>0</v>
      </c>
      <c r="AU38" s="16">
        <f t="shared" si="62"/>
        <v>0</v>
      </c>
      <c r="AV38" s="16">
        <f t="shared" si="63"/>
        <v>0</v>
      </c>
      <c r="AW38" s="16">
        <f t="shared" si="64"/>
        <v>0</v>
      </c>
      <c r="AX38" s="16">
        <f t="shared" si="65"/>
        <v>0</v>
      </c>
      <c r="AY38" s="16">
        <f t="shared" si="66"/>
        <v>0</v>
      </c>
      <c r="AZ38" s="16">
        <f t="shared" si="67"/>
        <v>0</v>
      </c>
      <c r="BA38" s="17">
        <f t="shared" si="68"/>
        <v>0</v>
      </c>
    </row>
    <row r="39" spans="1:53" ht="15" thickBot="1" x14ac:dyDescent="0.35">
      <c r="A39" s="121" t="s">
        <v>43</v>
      </c>
      <c r="B39" s="160"/>
      <c r="C39" s="143"/>
      <c r="D39" s="145"/>
      <c r="E39" s="145"/>
      <c r="F39" s="110"/>
      <c r="G39" s="147"/>
      <c r="H39" s="145"/>
      <c r="I39" s="110"/>
      <c r="J39" s="238"/>
      <c r="K39" s="145"/>
      <c r="L39" s="110"/>
      <c r="M39" s="145"/>
      <c r="N39" s="145"/>
      <c r="O39" s="110"/>
      <c r="P39" s="145"/>
      <c r="Q39" s="145"/>
      <c r="R39" s="110"/>
      <c r="S39" s="145"/>
      <c r="T39" s="145"/>
      <c r="U39" s="110"/>
      <c r="V39" s="145"/>
      <c r="W39" s="145"/>
      <c r="X39" s="110"/>
      <c r="Y39" s="145"/>
      <c r="Z39" s="145"/>
      <c r="AA39" s="162"/>
      <c r="AB39" s="145"/>
      <c r="AC39" s="145"/>
      <c r="AD39" s="110"/>
      <c r="AE39" s="145"/>
      <c r="AF39" s="145"/>
      <c r="AG39" s="112"/>
      <c r="AH39" s="231">
        <f>+Janvier!AJ39</f>
        <v>4254.2307692307695</v>
      </c>
      <c r="AI39" s="231">
        <f>+Janvier!AK39</f>
        <v>13235.384615384613</v>
      </c>
      <c r="AJ39" s="231">
        <f>+Janvier!AL39</f>
        <v>9926.538461538461</v>
      </c>
      <c r="AK39" s="231">
        <f>+Janvier!AM39</f>
        <v>9926.538461538461</v>
      </c>
      <c r="AL39" s="231">
        <f>+Janvier!AN39</f>
        <v>6016.0839160839159</v>
      </c>
      <c r="AM39" s="231">
        <f>+Janvier!AO39</f>
        <v>3722.4519230769233</v>
      </c>
      <c r="AN39" s="231">
        <f>+Janvier!AP39</f>
        <v>7444.9038461538466</v>
      </c>
      <c r="AO39" s="231">
        <f>+Janvier!AQ39</f>
        <v>3722.4519230769233</v>
      </c>
      <c r="AP39" s="231">
        <f>+Janvier!AR39</f>
        <v>3722.4519230769233</v>
      </c>
      <c r="AQ39" s="231">
        <f>+Janvier!AS39</f>
        <v>6617.6923076923067</v>
      </c>
      <c r="AR39" s="32">
        <f t="shared" si="59"/>
        <v>0</v>
      </c>
      <c r="AS39" s="32">
        <f t="shared" si="60"/>
        <v>0</v>
      </c>
      <c r="AT39" s="32">
        <f t="shared" si="61"/>
        <v>0</v>
      </c>
      <c r="AU39" s="32">
        <f t="shared" si="62"/>
        <v>0</v>
      </c>
      <c r="AV39" s="32">
        <f t="shared" si="63"/>
        <v>0</v>
      </c>
      <c r="AW39" s="32">
        <f t="shared" si="64"/>
        <v>0</v>
      </c>
      <c r="AX39" s="32">
        <f t="shared" si="65"/>
        <v>0</v>
      </c>
      <c r="AY39" s="32">
        <f t="shared" si="66"/>
        <v>0</v>
      </c>
      <c r="AZ39" s="32">
        <f t="shared" si="67"/>
        <v>0</v>
      </c>
      <c r="BA39" s="33">
        <f t="shared" si="68"/>
        <v>0</v>
      </c>
    </row>
    <row r="40" spans="1:53" ht="15.6" x14ac:dyDescent="0.3">
      <c r="A40" s="198" t="s">
        <v>88</v>
      </c>
      <c r="B40" s="160"/>
      <c r="C40" s="160"/>
      <c r="D40" s="122"/>
      <c r="E40" s="123"/>
      <c r="F40" s="124"/>
      <c r="G40" s="125"/>
      <c r="H40" s="123"/>
      <c r="I40" s="126"/>
      <c r="J40" s="125"/>
      <c r="K40" s="123"/>
      <c r="L40" s="124"/>
      <c r="M40" s="125"/>
      <c r="N40" s="123"/>
      <c r="O40" s="124"/>
      <c r="P40" s="125"/>
      <c r="Q40" s="123"/>
      <c r="R40" s="124"/>
      <c r="S40" s="125"/>
      <c r="T40" s="123"/>
      <c r="U40" s="124"/>
      <c r="V40" s="125"/>
      <c r="W40" s="123"/>
      <c r="X40" s="124"/>
      <c r="Y40" s="125"/>
      <c r="Z40" s="123"/>
      <c r="AA40" s="124"/>
      <c r="AB40" s="125"/>
      <c r="AC40" s="123"/>
      <c r="AD40" s="124"/>
      <c r="AE40" s="125"/>
      <c r="AF40" s="123"/>
      <c r="AG40" s="126"/>
      <c r="AH40" s="231">
        <f>+Janvier!AJ40</f>
        <v>69601.949999999983</v>
      </c>
      <c r="AI40" s="231">
        <f>+Janvier!AK40</f>
        <v>241304.71153846153</v>
      </c>
      <c r="AJ40" s="231">
        <f>+Janvier!AL40</f>
        <v>160708.93788461541</v>
      </c>
      <c r="AK40" s="231">
        <f>+Janvier!AM40</f>
        <v>160708.93788461541</v>
      </c>
      <c r="AL40" s="231">
        <f>+Janvier!AN40</f>
        <v>101347.97884615386</v>
      </c>
      <c r="AM40" s="231">
        <f>+Janvier!AO40</f>
        <v>60326.177884615383</v>
      </c>
      <c r="AN40" s="231">
        <f>+Janvier!AP40</f>
        <v>120652.35576923077</v>
      </c>
      <c r="AO40" s="231">
        <f>+Janvier!AQ40</f>
        <v>60326.177884615383</v>
      </c>
      <c r="AP40" s="231">
        <f>+Janvier!AR40</f>
        <v>60326.177884615383</v>
      </c>
      <c r="AQ40" s="231">
        <f>+Janvier!AS40</f>
        <v>108053.37692307694</v>
      </c>
      <c r="AR40" s="16">
        <f>ROUND(E40/(AH40/15),0)</f>
        <v>0</v>
      </c>
      <c r="AS40" s="16">
        <f t="shared" ref="AS40" si="69">ROUND(H40/(AI40/15),0)</f>
        <v>0</v>
      </c>
      <c r="AT40" s="16">
        <f t="shared" ref="AT40" si="70">ROUND(K40/(AJ40/15),0)</f>
        <v>0</v>
      </c>
      <c r="AU40" s="16">
        <f t="shared" ref="AU40" si="71">ROUND(N40/(AK40/15),0)</f>
        <v>0</v>
      </c>
      <c r="AV40" s="16">
        <f t="shared" ref="AV40" si="72">ROUND(Q40/(AL40/15),0)</f>
        <v>0</v>
      </c>
      <c r="AW40" s="16">
        <f t="shared" ref="AW40" si="73">ROUND(T40/(AM40/15),0)</f>
        <v>0</v>
      </c>
      <c r="AX40" s="16">
        <f t="shared" ref="AX40" si="74">ROUND(W40/(AN40/15),0)</f>
        <v>0</v>
      </c>
      <c r="AY40" s="16">
        <f t="shared" ref="AY40" si="75">ROUND(Z40/(AO40/15),0)</f>
        <v>0</v>
      </c>
      <c r="AZ40" s="16">
        <f t="shared" ref="AZ40" si="76">ROUND(AC40/(AP40/15),0)</f>
        <v>0</v>
      </c>
      <c r="BA40" s="17">
        <f t="shared" ref="BA40" si="77">ROUND(AF40/(AQ40/15),0)</f>
        <v>0</v>
      </c>
    </row>
    <row r="41" spans="1:53" ht="15.6" x14ac:dyDescent="0.3">
      <c r="A41" s="199" t="s">
        <v>44</v>
      </c>
      <c r="B41" s="94"/>
      <c r="C41" s="94"/>
      <c r="D41" s="107"/>
      <c r="E41" s="96"/>
      <c r="F41" s="97"/>
      <c r="G41" s="95"/>
      <c r="H41" s="96"/>
      <c r="I41" s="105"/>
      <c r="J41" s="95"/>
      <c r="K41" s="96"/>
      <c r="L41" s="97"/>
      <c r="M41" s="95"/>
      <c r="N41" s="96"/>
      <c r="O41" s="97"/>
      <c r="P41" s="95"/>
      <c r="Q41" s="96"/>
      <c r="R41" s="97"/>
      <c r="S41" s="95"/>
      <c r="T41" s="96"/>
      <c r="U41" s="97"/>
      <c r="V41" s="95"/>
      <c r="W41" s="96"/>
      <c r="X41" s="97"/>
      <c r="Y41" s="95"/>
      <c r="Z41" s="96"/>
      <c r="AA41" s="97"/>
      <c r="AB41" s="95"/>
      <c r="AC41" s="96"/>
      <c r="AD41" s="97"/>
      <c r="AE41" s="95"/>
      <c r="AF41" s="96"/>
      <c r="AG41" s="105"/>
      <c r="AH41" s="231">
        <f>+Janvier!AJ41</f>
        <v>1769.7115384615383</v>
      </c>
      <c r="AI41" s="231">
        <f>+Janvier!AK41</f>
        <v>5505.7692307692305</v>
      </c>
      <c r="AJ41" s="231">
        <f>+Janvier!AL41</f>
        <v>4129.3269230769229</v>
      </c>
      <c r="AK41" s="231">
        <f>+Janvier!AM41</f>
        <v>4129.3269230769229</v>
      </c>
      <c r="AL41" s="231">
        <f>+Janvier!AN41</f>
        <v>2502.6223776223778</v>
      </c>
      <c r="AM41" s="231">
        <f>+Janvier!AO41</f>
        <v>1548.4975961538462</v>
      </c>
      <c r="AN41" s="231">
        <f>+Janvier!AP41</f>
        <v>3096.9951923076924</v>
      </c>
      <c r="AO41" s="231">
        <f>+Janvier!AQ41</f>
        <v>1548.4975961538462</v>
      </c>
      <c r="AP41" s="231">
        <f>+Janvier!AR41</f>
        <v>1548.4975961538462</v>
      </c>
      <c r="AQ41" s="231">
        <f>+Janvier!AS41</f>
        <v>2752.8846153846152</v>
      </c>
      <c r="AR41" s="16">
        <f t="shared" ref="AR41:AR53" si="78">ROUND(E41/(AH41/5),0)</f>
        <v>0</v>
      </c>
      <c r="AS41" s="16">
        <f t="shared" ref="AS41:AS53" si="79">ROUND(H41/(AI41/5),0)</f>
        <v>0</v>
      </c>
      <c r="AT41" s="16">
        <f t="shared" ref="AT41:AT53" si="80">ROUND(K41/(AJ41/5),0)</f>
        <v>0</v>
      </c>
      <c r="AU41" s="16">
        <f t="shared" ref="AU41:AU53" si="81">ROUND(N41/(AK41/5),0)</f>
        <v>0</v>
      </c>
      <c r="AV41" s="16">
        <f t="shared" ref="AV41:AV53" si="82">ROUND(Q41/(AL41/5),0)</f>
        <v>0</v>
      </c>
      <c r="AW41" s="16">
        <f t="shared" ref="AW41:AW53" si="83">ROUND(T41/(AM41/5),0)</f>
        <v>0</v>
      </c>
      <c r="AX41" s="16">
        <f t="shared" ref="AX41:AX53" si="84">ROUND(W41/(AN41/5),0)</f>
        <v>0</v>
      </c>
      <c r="AY41" s="16">
        <f t="shared" ref="AY41:AY53" si="85">ROUND(Z41/(AO41/5),0)</f>
        <v>0</v>
      </c>
      <c r="AZ41" s="16">
        <f t="shared" ref="AZ41:AZ53" si="86">ROUND(AC41/(AP41/5),0)</f>
        <v>0</v>
      </c>
      <c r="BA41" s="17">
        <f t="shared" ref="BA41:BA53" si="87">ROUND(AF41/(AQ41/5),0)</f>
        <v>0</v>
      </c>
    </row>
    <row r="42" spans="1:53" ht="15.6" x14ac:dyDescent="0.3">
      <c r="A42" s="199" t="s">
        <v>45</v>
      </c>
      <c r="B42" s="94"/>
      <c r="C42" s="94"/>
      <c r="D42" s="107"/>
      <c r="E42" s="96"/>
      <c r="F42" s="97"/>
      <c r="G42" s="95"/>
      <c r="H42" s="96"/>
      <c r="I42" s="105"/>
      <c r="J42" s="95"/>
      <c r="K42" s="96"/>
      <c r="L42" s="97"/>
      <c r="M42" s="95"/>
      <c r="N42" s="96"/>
      <c r="O42" s="97"/>
      <c r="P42" s="95"/>
      <c r="Q42" s="96"/>
      <c r="R42" s="97"/>
      <c r="S42" s="95"/>
      <c r="T42" s="96"/>
      <c r="U42" s="97"/>
      <c r="V42" s="95"/>
      <c r="W42" s="96"/>
      <c r="X42" s="97"/>
      <c r="Y42" s="95"/>
      <c r="Z42" s="96"/>
      <c r="AA42" s="97"/>
      <c r="AB42" s="95"/>
      <c r="AC42" s="96"/>
      <c r="AD42" s="97"/>
      <c r="AE42" s="95"/>
      <c r="AF42" s="96"/>
      <c r="AG42" s="105"/>
      <c r="AH42" s="231">
        <f>+Janvier!AJ42</f>
        <v>499.20329670329681</v>
      </c>
      <c r="AI42" s="231">
        <f>+Janvier!AK42</f>
        <v>1553.0769230769233</v>
      </c>
      <c r="AJ42" s="231">
        <f>+Janvier!AL42</f>
        <v>1164.8076923076926</v>
      </c>
      <c r="AK42" s="231">
        <f>+Janvier!AM42</f>
        <v>1164.8076923076926</v>
      </c>
      <c r="AL42" s="231">
        <f>+Janvier!AN42</f>
        <v>705.944055944056</v>
      </c>
      <c r="AM42" s="231">
        <f>+Janvier!AO42</f>
        <v>436.80288461538458</v>
      </c>
      <c r="AN42" s="231">
        <f>+Janvier!AP42</f>
        <v>873.60576923076917</v>
      </c>
      <c r="AO42" s="231">
        <f>+Janvier!AQ42</f>
        <v>436.80288461538458</v>
      </c>
      <c r="AP42" s="231">
        <f>+Janvier!AR42</f>
        <v>436.80288461538458</v>
      </c>
      <c r="AQ42" s="231">
        <f>+Janvier!AS42</f>
        <v>776.53846153846166</v>
      </c>
      <c r="AR42" s="16">
        <f t="shared" si="78"/>
        <v>0</v>
      </c>
      <c r="AS42" s="16">
        <f t="shared" si="79"/>
        <v>0</v>
      </c>
      <c r="AT42" s="16">
        <f t="shared" si="80"/>
        <v>0</v>
      </c>
      <c r="AU42" s="16">
        <f t="shared" si="81"/>
        <v>0</v>
      </c>
      <c r="AV42" s="16">
        <f t="shared" si="82"/>
        <v>0</v>
      </c>
      <c r="AW42" s="16">
        <f t="shared" si="83"/>
        <v>0</v>
      </c>
      <c r="AX42" s="16">
        <f t="shared" si="84"/>
        <v>0</v>
      </c>
      <c r="AY42" s="16">
        <f t="shared" si="85"/>
        <v>0</v>
      </c>
      <c r="AZ42" s="16">
        <f t="shared" si="86"/>
        <v>0</v>
      </c>
      <c r="BA42" s="17">
        <f t="shared" si="87"/>
        <v>0</v>
      </c>
    </row>
    <row r="43" spans="1:53" ht="15.6" x14ac:dyDescent="0.3">
      <c r="A43" s="199" t="s">
        <v>46</v>
      </c>
      <c r="B43" s="94"/>
      <c r="C43" s="94"/>
      <c r="D43" s="107"/>
      <c r="E43" s="96"/>
      <c r="F43" s="97"/>
      <c r="G43" s="95"/>
      <c r="H43" s="96"/>
      <c r="I43" s="105"/>
      <c r="J43" s="95"/>
      <c r="K43" s="96"/>
      <c r="L43" s="97"/>
      <c r="M43" s="95"/>
      <c r="N43" s="96"/>
      <c r="O43" s="97"/>
      <c r="P43" s="95"/>
      <c r="Q43" s="96"/>
      <c r="R43" s="97"/>
      <c r="S43" s="95"/>
      <c r="T43" s="96"/>
      <c r="U43" s="97"/>
      <c r="V43" s="95"/>
      <c r="W43" s="96"/>
      <c r="X43" s="97"/>
      <c r="Y43" s="95"/>
      <c r="Z43" s="96"/>
      <c r="AA43" s="97"/>
      <c r="AB43" s="95"/>
      <c r="AC43" s="96"/>
      <c r="AD43" s="97"/>
      <c r="AE43" s="95"/>
      <c r="AF43" s="96"/>
      <c r="AG43" s="105"/>
      <c r="AH43" s="231">
        <f>+Janvier!AJ43</f>
        <v>3075.0824175824173</v>
      </c>
      <c r="AI43" s="231">
        <f>+Janvier!AK43</f>
        <v>9566.923076923078</v>
      </c>
      <c r="AJ43" s="231">
        <f>+Janvier!AL43</f>
        <v>7175.1923076923067</v>
      </c>
      <c r="AK43" s="231">
        <f>+Janvier!AM43</f>
        <v>7175.1923076923067</v>
      </c>
      <c r="AL43" s="231">
        <f>+Janvier!AN43</f>
        <v>4348.6013986013986</v>
      </c>
      <c r="AM43" s="231">
        <f>+Janvier!AO43</f>
        <v>2690.6971153846152</v>
      </c>
      <c r="AN43" s="231">
        <f>+Janvier!AP43</f>
        <v>5381.3942307692305</v>
      </c>
      <c r="AO43" s="231">
        <f>+Janvier!AQ43</f>
        <v>2690.6971153846152</v>
      </c>
      <c r="AP43" s="231">
        <f>+Janvier!AR43</f>
        <v>2690.6971153846152</v>
      </c>
      <c r="AQ43" s="231">
        <f>+Janvier!AS43</f>
        <v>4783.461538461539</v>
      </c>
      <c r="AR43" s="16">
        <f t="shared" si="78"/>
        <v>0</v>
      </c>
      <c r="AS43" s="16">
        <f t="shared" si="79"/>
        <v>0</v>
      </c>
      <c r="AT43" s="16">
        <f t="shared" si="80"/>
        <v>0</v>
      </c>
      <c r="AU43" s="16">
        <f t="shared" si="81"/>
        <v>0</v>
      </c>
      <c r="AV43" s="16">
        <f t="shared" si="82"/>
        <v>0</v>
      </c>
      <c r="AW43" s="16">
        <f t="shared" si="83"/>
        <v>0</v>
      </c>
      <c r="AX43" s="16">
        <f t="shared" si="84"/>
        <v>0</v>
      </c>
      <c r="AY43" s="16">
        <f t="shared" si="85"/>
        <v>0</v>
      </c>
      <c r="AZ43" s="16">
        <f t="shared" si="86"/>
        <v>0</v>
      </c>
      <c r="BA43" s="17">
        <f t="shared" si="87"/>
        <v>0</v>
      </c>
    </row>
    <row r="44" spans="1:53" ht="15.6" x14ac:dyDescent="0.3">
      <c r="A44" s="199" t="s">
        <v>47</v>
      </c>
      <c r="B44" s="94"/>
      <c r="C44" s="94"/>
      <c r="D44" s="107"/>
      <c r="E44" s="96"/>
      <c r="F44" s="97"/>
      <c r="G44" s="95"/>
      <c r="H44" s="96"/>
      <c r="I44" s="105"/>
      <c r="J44" s="95"/>
      <c r="K44" s="96"/>
      <c r="L44" s="97"/>
      <c r="M44" s="95"/>
      <c r="N44" s="96"/>
      <c r="O44" s="97"/>
      <c r="P44" s="95"/>
      <c r="Q44" s="96"/>
      <c r="R44" s="97"/>
      <c r="S44" s="95"/>
      <c r="T44" s="96"/>
      <c r="U44" s="97"/>
      <c r="V44" s="95"/>
      <c r="W44" s="96"/>
      <c r="X44" s="97"/>
      <c r="Y44" s="95"/>
      <c r="Z44" s="96"/>
      <c r="AA44" s="97"/>
      <c r="AB44" s="95"/>
      <c r="AC44" s="96"/>
      <c r="AD44" s="97"/>
      <c r="AE44" s="95"/>
      <c r="AF44" s="96"/>
      <c r="AG44" s="105"/>
      <c r="AH44" s="231">
        <f>+Janvier!AJ44</f>
        <v>2324.2994505494512</v>
      </c>
      <c r="AI44" s="231">
        <f>+Janvier!AK44</f>
        <v>7231.1538461538476</v>
      </c>
      <c r="AJ44" s="231">
        <f>+Janvier!AL44</f>
        <v>5423.3653846153857</v>
      </c>
      <c r="AK44" s="231">
        <f>+Janvier!AM44</f>
        <v>5423.3653846153857</v>
      </c>
      <c r="AL44" s="231">
        <f>+Janvier!AN44</f>
        <v>3286.8881118881118</v>
      </c>
      <c r="AM44" s="231">
        <f>+Janvier!AO44</f>
        <v>2033.7620192307693</v>
      </c>
      <c r="AN44" s="231">
        <f>+Janvier!AP44</f>
        <v>4067.5240384615386</v>
      </c>
      <c r="AO44" s="231">
        <f>+Janvier!AQ44</f>
        <v>2033.7620192307693</v>
      </c>
      <c r="AP44" s="231">
        <f>+Janvier!AR44</f>
        <v>2033.7620192307693</v>
      </c>
      <c r="AQ44" s="231">
        <f>+Janvier!AS44</f>
        <v>3615.5769230769238</v>
      </c>
      <c r="AR44" s="16">
        <f t="shared" si="78"/>
        <v>0</v>
      </c>
      <c r="AS44" s="16">
        <f t="shared" si="79"/>
        <v>0</v>
      </c>
      <c r="AT44" s="16">
        <f t="shared" si="80"/>
        <v>0</v>
      </c>
      <c r="AU44" s="16">
        <f t="shared" si="81"/>
        <v>0</v>
      </c>
      <c r="AV44" s="16">
        <f t="shared" si="82"/>
        <v>0</v>
      </c>
      <c r="AW44" s="16">
        <f t="shared" si="83"/>
        <v>0</v>
      </c>
      <c r="AX44" s="16">
        <f t="shared" si="84"/>
        <v>0</v>
      </c>
      <c r="AY44" s="16">
        <f t="shared" si="85"/>
        <v>0</v>
      </c>
      <c r="AZ44" s="16">
        <f t="shared" si="86"/>
        <v>0</v>
      </c>
      <c r="BA44" s="17">
        <f t="shared" si="87"/>
        <v>0</v>
      </c>
    </row>
    <row r="45" spans="1:53" ht="15.6" x14ac:dyDescent="0.3">
      <c r="A45" s="199" t="s">
        <v>48</v>
      </c>
      <c r="B45" s="94"/>
      <c r="C45" s="94"/>
      <c r="D45" s="107"/>
      <c r="E45" s="96"/>
      <c r="F45" s="97"/>
      <c r="G45" s="95"/>
      <c r="H45" s="96"/>
      <c r="I45" s="105"/>
      <c r="J45" s="95"/>
      <c r="K45" s="96"/>
      <c r="L45" s="97"/>
      <c r="M45" s="95"/>
      <c r="N45" s="96"/>
      <c r="O45" s="97"/>
      <c r="P45" s="95"/>
      <c r="Q45" s="96"/>
      <c r="R45" s="97"/>
      <c r="S45" s="95"/>
      <c r="T45" s="96"/>
      <c r="U45" s="97"/>
      <c r="V45" s="95"/>
      <c r="W45" s="96"/>
      <c r="X45" s="97"/>
      <c r="Y45" s="95"/>
      <c r="Z45" s="96"/>
      <c r="AA45" s="97"/>
      <c r="AB45" s="95"/>
      <c r="AC45" s="96"/>
      <c r="AD45" s="97"/>
      <c r="AE45" s="95"/>
      <c r="AF45" s="96"/>
      <c r="AG45" s="105"/>
      <c r="AH45" s="231">
        <f>+Janvier!AJ45</f>
        <v>2327.5137362637361</v>
      </c>
      <c r="AI45" s="231">
        <f>+Janvier!AK45</f>
        <v>7241.1538461538466</v>
      </c>
      <c r="AJ45" s="231">
        <f>+Janvier!AL45</f>
        <v>5430.8653846153829</v>
      </c>
      <c r="AK45" s="231">
        <f>+Janvier!AM45</f>
        <v>5430.8653846153829</v>
      </c>
      <c r="AL45" s="231">
        <f>+Janvier!AN45</f>
        <v>3291.4335664335663</v>
      </c>
      <c r="AM45" s="231">
        <f>+Janvier!AO45</f>
        <v>2036.5745192307693</v>
      </c>
      <c r="AN45" s="231">
        <f>+Janvier!AP45</f>
        <v>4073.1490384615386</v>
      </c>
      <c r="AO45" s="231">
        <f>+Janvier!AQ45</f>
        <v>2036.5745192307693</v>
      </c>
      <c r="AP45" s="231">
        <f>+Janvier!AR45</f>
        <v>2036.5745192307693</v>
      </c>
      <c r="AQ45" s="231">
        <f>+Janvier!AS45</f>
        <v>3620.5769230769233</v>
      </c>
      <c r="AR45" s="16">
        <f t="shared" si="78"/>
        <v>0</v>
      </c>
      <c r="AS45" s="16">
        <f t="shared" si="79"/>
        <v>0</v>
      </c>
      <c r="AT45" s="16">
        <f t="shared" si="80"/>
        <v>0</v>
      </c>
      <c r="AU45" s="16">
        <f t="shared" si="81"/>
        <v>0</v>
      </c>
      <c r="AV45" s="16">
        <f t="shared" si="82"/>
        <v>0</v>
      </c>
      <c r="AW45" s="16">
        <f t="shared" si="83"/>
        <v>0</v>
      </c>
      <c r="AX45" s="16">
        <f t="shared" si="84"/>
        <v>0</v>
      </c>
      <c r="AY45" s="16">
        <f t="shared" si="85"/>
        <v>0</v>
      </c>
      <c r="AZ45" s="16">
        <f t="shared" si="86"/>
        <v>0</v>
      </c>
      <c r="BA45" s="17">
        <f t="shared" si="87"/>
        <v>0</v>
      </c>
    </row>
    <row r="46" spans="1:53" ht="15.6" x14ac:dyDescent="0.3">
      <c r="A46" s="199" t="s">
        <v>49</v>
      </c>
      <c r="B46" s="94"/>
      <c r="C46" s="94"/>
      <c r="D46" s="107"/>
      <c r="E46" s="96"/>
      <c r="F46" s="97"/>
      <c r="G46" s="95"/>
      <c r="H46" s="96"/>
      <c r="I46" s="105"/>
      <c r="J46" s="95"/>
      <c r="K46" s="96"/>
      <c r="L46" s="97"/>
      <c r="M46" s="95"/>
      <c r="N46" s="96"/>
      <c r="O46" s="97"/>
      <c r="P46" s="95"/>
      <c r="Q46" s="96"/>
      <c r="R46" s="97"/>
      <c r="S46" s="95"/>
      <c r="T46" s="96"/>
      <c r="U46" s="97"/>
      <c r="V46" s="95"/>
      <c r="W46" s="96"/>
      <c r="X46" s="97"/>
      <c r="Y46" s="95"/>
      <c r="Z46" s="96"/>
      <c r="AA46" s="97"/>
      <c r="AB46" s="95"/>
      <c r="AC46" s="96"/>
      <c r="AD46" s="97"/>
      <c r="AE46" s="95"/>
      <c r="AF46" s="96"/>
      <c r="AG46" s="105"/>
      <c r="AH46" s="231">
        <f>+Janvier!AJ46</f>
        <v>2160.3708791208792</v>
      </c>
      <c r="AI46" s="231">
        <f>+Janvier!AK46</f>
        <v>6721.1538461538466</v>
      </c>
      <c r="AJ46" s="231">
        <f>+Janvier!AL46</f>
        <v>5040.8653846153848</v>
      </c>
      <c r="AK46" s="231">
        <f>+Janvier!AM46</f>
        <v>5040.8653846153848</v>
      </c>
      <c r="AL46" s="231">
        <f>+Janvier!AN46</f>
        <v>3055.0699300699303</v>
      </c>
      <c r="AM46" s="231">
        <f>+Janvier!AO46</f>
        <v>1890.3245192307693</v>
      </c>
      <c r="AN46" s="231">
        <f>+Janvier!AP46</f>
        <v>3780.6490384615386</v>
      </c>
      <c r="AO46" s="231">
        <f>+Janvier!AQ46</f>
        <v>1890.3245192307693</v>
      </c>
      <c r="AP46" s="231">
        <f>+Janvier!AR46</f>
        <v>1890.3245192307693</v>
      </c>
      <c r="AQ46" s="231">
        <f>+Janvier!AS46</f>
        <v>3360.5769230769233</v>
      </c>
      <c r="AR46" s="16">
        <f t="shared" si="78"/>
        <v>0</v>
      </c>
      <c r="AS46" s="16">
        <f t="shared" si="79"/>
        <v>0</v>
      </c>
      <c r="AT46" s="16">
        <f t="shared" si="80"/>
        <v>0</v>
      </c>
      <c r="AU46" s="16">
        <f t="shared" si="81"/>
        <v>0</v>
      </c>
      <c r="AV46" s="16">
        <f t="shared" si="82"/>
        <v>0</v>
      </c>
      <c r="AW46" s="16">
        <f t="shared" si="83"/>
        <v>0</v>
      </c>
      <c r="AX46" s="16">
        <f t="shared" si="84"/>
        <v>0</v>
      </c>
      <c r="AY46" s="16">
        <f t="shared" si="85"/>
        <v>0</v>
      </c>
      <c r="AZ46" s="16">
        <f t="shared" si="86"/>
        <v>0</v>
      </c>
      <c r="BA46" s="17">
        <f t="shared" si="87"/>
        <v>0</v>
      </c>
    </row>
    <row r="47" spans="1:53" ht="15.6" x14ac:dyDescent="0.3">
      <c r="A47" s="199" t="s">
        <v>50</v>
      </c>
      <c r="B47" s="94"/>
      <c r="C47" s="94"/>
      <c r="D47" s="107"/>
      <c r="E47" s="96"/>
      <c r="F47" s="97"/>
      <c r="G47" s="95"/>
      <c r="H47" s="96"/>
      <c r="I47" s="105"/>
      <c r="J47" s="95"/>
      <c r="K47" s="96"/>
      <c r="L47" s="97"/>
      <c r="M47" s="95"/>
      <c r="N47" s="96"/>
      <c r="O47" s="97"/>
      <c r="P47" s="95"/>
      <c r="Q47" s="96"/>
      <c r="R47" s="97"/>
      <c r="S47" s="95"/>
      <c r="T47" s="96"/>
      <c r="U47" s="97"/>
      <c r="V47" s="95"/>
      <c r="W47" s="96"/>
      <c r="X47" s="97"/>
      <c r="Y47" s="95"/>
      <c r="Z47" s="96"/>
      <c r="AA47" s="97"/>
      <c r="AB47" s="95"/>
      <c r="AC47" s="96"/>
      <c r="AD47" s="97"/>
      <c r="AE47" s="95"/>
      <c r="AF47" s="96"/>
      <c r="AG47" s="105"/>
      <c r="AH47" s="231">
        <f>+Janvier!AJ47</f>
        <v>3766.7719780219786</v>
      </c>
      <c r="AI47" s="231">
        <f>+Janvier!AK47</f>
        <v>11718.846153846154</v>
      </c>
      <c r="AJ47" s="231">
        <f>+Janvier!AL47</f>
        <v>8789.1346153846171</v>
      </c>
      <c r="AK47" s="231">
        <f>+Janvier!AM47</f>
        <v>8789.1346153846171</v>
      </c>
      <c r="AL47" s="231">
        <f>+Janvier!AN47</f>
        <v>5326.7482517482513</v>
      </c>
      <c r="AM47" s="231">
        <f>+Janvier!AO47</f>
        <v>3295.9254807692309</v>
      </c>
      <c r="AN47" s="231">
        <f>+Janvier!AP47</f>
        <v>6591.8509615384619</v>
      </c>
      <c r="AO47" s="231">
        <f>+Janvier!AQ47</f>
        <v>3295.9254807692309</v>
      </c>
      <c r="AP47" s="231">
        <f>+Janvier!AR47</f>
        <v>3295.9254807692309</v>
      </c>
      <c r="AQ47" s="231">
        <f>+Janvier!AS47</f>
        <v>5859.4230769230771</v>
      </c>
      <c r="AR47" s="16">
        <f t="shared" si="78"/>
        <v>0</v>
      </c>
      <c r="AS47" s="16">
        <f t="shared" si="79"/>
        <v>0</v>
      </c>
      <c r="AT47" s="16">
        <f t="shared" si="80"/>
        <v>0</v>
      </c>
      <c r="AU47" s="16">
        <f t="shared" si="81"/>
        <v>0</v>
      </c>
      <c r="AV47" s="16">
        <f t="shared" si="82"/>
        <v>0</v>
      </c>
      <c r="AW47" s="16">
        <f t="shared" si="83"/>
        <v>0</v>
      </c>
      <c r="AX47" s="16">
        <f t="shared" si="84"/>
        <v>0</v>
      </c>
      <c r="AY47" s="16">
        <f t="shared" si="85"/>
        <v>0</v>
      </c>
      <c r="AZ47" s="16">
        <f t="shared" si="86"/>
        <v>0</v>
      </c>
      <c r="BA47" s="17">
        <f t="shared" si="87"/>
        <v>0</v>
      </c>
    </row>
    <row r="48" spans="1:53" ht="15.6" x14ac:dyDescent="0.3">
      <c r="A48" s="199" t="s">
        <v>56</v>
      </c>
      <c r="B48" s="94"/>
      <c r="C48" s="94"/>
      <c r="D48" s="107"/>
      <c r="E48" s="96"/>
      <c r="F48" s="97"/>
      <c r="G48" s="95"/>
      <c r="H48" s="96"/>
      <c r="I48" s="105"/>
      <c r="J48" s="95"/>
      <c r="K48" s="96"/>
      <c r="L48" s="97"/>
      <c r="M48" s="95"/>
      <c r="N48" s="96"/>
      <c r="O48" s="97"/>
      <c r="P48" s="95"/>
      <c r="Q48" s="96"/>
      <c r="R48" s="97"/>
      <c r="S48" s="95"/>
      <c r="T48" s="96"/>
      <c r="U48" s="97"/>
      <c r="V48" s="95"/>
      <c r="W48" s="96"/>
      <c r="X48" s="97"/>
      <c r="Y48" s="95"/>
      <c r="Z48" s="96"/>
      <c r="AA48" s="97"/>
      <c r="AB48" s="95"/>
      <c r="AC48" s="96"/>
      <c r="AD48" s="97"/>
      <c r="AE48" s="95"/>
      <c r="AF48" s="96"/>
      <c r="AG48" s="105"/>
      <c r="AH48" s="231">
        <f>+Janvier!AJ48</f>
        <v>1604.6703296703297</v>
      </c>
      <c r="AI48" s="231">
        <f>+Janvier!AK48</f>
        <v>4992.3076923076924</v>
      </c>
      <c r="AJ48" s="231">
        <f>+Janvier!AL48</f>
        <v>3744.2307692307691</v>
      </c>
      <c r="AK48" s="231">
        <f>+Janvier!AM48</f>
        <v>3744.2307692307691</v>
      </c>
      <c r="AL48" s="231">
        <f>+Janvier!AN48</f>
        <v>2269.2307692307695</v>
      </c>
      <c r="AM48" s="231">
        <f>+Janvier!AO48</f>
        <v>1404.0865384615383</v>
      </c>
      <c r="AN48" s="231">
        <f>+Janvier!AP48</f>
        <v>2808.1730769230767</v>
      </c>
      <c r="AO48" s="231">
        <f>+Janvier!AQ48</f>
        <v>1404.0865384615383</v>
      </c>
      <c r="AP48" s="231">
        <f>+Janvier!AR48</f>
        <v>1404.0865384615383</v>
      </c>
      <c r="AQ48" s="231">
        <f>+Janvier!AS48</f>
        <v>2496.1538461538462</v>
      </c>
      <c r="AR48" s="16">
        <f t="shared" si="78"/>
        <v>0</v>
      </c>
      <c r="AS48" s="16">
        <f t="shared" si="79"/>
        <v>0</v>
      </c>
      <c r="AT48" s="16">
        <f t="shared" si="80"/>
        <v>0</v>
      </c>
      <c r="AU48" s="16">
        <f t="shared" si="81"/>
        <v>0</v>
      </c>
      <c r="AV48" s="16">
        <f t="shared" si="82"/>
        <v>0</v>
      </c>
      <c r="AW48" s="16">
        <f t="shared" si="83"/>
        <v>0</v>
      </c>
      <c r="AX48" s="16">
        <f t="shared" si="84"/>
        <v>0</v>
      </c>
      <c r="AY48" s="16">
        <f t="shared" si="85"/>
        <v>0</v>
      </c>
      <c r="AZ48" s="16">
        <f t="shared" si="86"/>
        <v>0</v>
      </c>
      <c r="BA48" s="17">
        <f t="shared" si="87"/>
        <v>0</v>
      </c>
    </row>
    <row r="49" spans="1:53" ht="15.6" x14ac:dyDescent="0.3">
      <c r="A49" s="199" t="s">
        <v>51</v>
      </c>
      <c r="B49" s="94"/>
      <c r="C49" s="94"/>
      <c r="D49" s="107"/>
      <c r="E49" s="96"/>
      <c r="F49" s="97"/>
      <c r="G49" s="95"/>
      <c r="H49" s="96"/>
      <c r="I49" s="105"/>
      <c r="J49" s="95"/>
      <c r="K49" s="96"/>
      <c r="L49" s="97"/>
      <c r="M49" s="95"/>
      <c r="N49" s="96"/>
      <c r="O49" s="97"/>
      <c r="P49" s="95"/>
      <c r="Q49" s="96"/>
      <c r="R49" s="97"/>
      <c r="S49" s="95"/>
      <c r="T49" s="96"/>
      <c r="U49" s="97"/>
      <c r="V49" s="95"/>
      <c r="W49" s="96"/>
      <c r="X49" s="97"/>
      <c r="Y49" s="95"/>
      <c r="Z49" s="96"/>
      <c r="AA49" s="97"/>
      <c r="AB49" s="95"/>
      <c r="AC49" s="96"/>
      <c r="AD49" s="97"/>
      <c r="AE49" s="95"/>
      <c r="AF49" s="96"/>
      <c r="AG49" s="105"/>
      <c r="AH49" s="231">
        <f>+Janvier!AJ49</f>
        <v>1032.2802197802198</v>
      </c>
      <c r="AI49" s="231">
        <f>+Janvier!AK49</f>
        <v>3211.5384615384614</v>
      </c>
      <c r="AJ49" s="231">
        <f>+Janvier!AL49</f>
        <v>2408.6538461538462</v>
      </c>
      <c r="AK49" s="231">
        <f>+Janvier!AM49</f>
        <v>2408.6538461538462</v>
      </c>
      <c r="AL49" s="231">
        <f>+Janvier!AN49</f>
        <v>1459.7902097902099</v>
      </c>
      <c r="AM49" s="231">
        <f>+Janvier!AO49</f>
        <v>903.24519230769226</v>
      </c>
      <c r="AN49" s="231">
        <f>+Janvier!AP49</f>
        <v>1806.4903846153845</v>
      </c>
      <c r="AO49" s="231">
        <f>+Janvier!AQ49</f>
        <v>903.24519230769226</v>
      </c>
      <c r="AP49" s="231">
        <f>+Janvier!AR49</f>
        <v>903.24519230769226</v>
      </c>
      <c r="AQ49" s="231">
        <f>+Janvier!AS49</f>
        <v>1605.7692307692307</v>
      </c>
      <c r="AR49" s="16">
        <f t="shared" si="78"/>
        <v>0</v>
      </c>
      <c r="AS49" s="16">
        <f t="shared" si="79"/>
        <v>0</v>
      </c>
      <c r="AT49" s="16">
        <f t="shared" si="80"/>
        <v>0</v>
      </c>
      <c r="AU49" s="16">
        <f t="shared" si="81"/>
        <v>0</v>
      </c>
      <c r="AV49" s="16">
        <f t="shared" si="82"/>
        <v>0</v>
      </c>
      <c r="AW49" s="16">
        <f t="shared" si="83"/>
        <v>0</v>
      </c>
      <c r="AX49" s="16">
        <f t="shared" si="84"/>
        <v>0</v>
      </c>
      <c r="AY49" s="16">
        <f t="shared" si="85"/>
        <v>0</v>
      </c>
      <c r="AZ49" s="16">
        <f t="shared" si="86"/>
        <v>0</v>
      </c>
      <c r="BA49" s="17">
        <f t="shared" si="87"/>
        <v>0</v>
      </c>
    </row>
    <row r="50" spans="1:53" ht="15.6" x14ac:dyDescent="0.3">
      <c r="A50" s="199" t="s">
        <v>52</v>
      </c>
      <c r="B50" s="94"/>
      <c r="C50" s="94"/>
      <c r="D50" s="107"/>
      <c r="E50" s="96"/>
      <c r="F50" s="97"/>
      <c r="G50" s="95"/>
      <c r="H50" s="96"/>
      <c r="I50" s="105"/>
      <c r="J50" s="95"/>
      <c r="K50" s="96"/>
      <c r="L50" s="97"/>
      <c r="M50" s="95"/>
      <c r="N50" s="96"/>
      <c r="O50" s="97"/>
      <c r="P50" s="95"/>
      <c r="Q50" s="96"/>
      <c r="R50" s="97"/>
      <c r="S50" s="95"/>
      <c r="T50" s="96"/>
      <c r="U50" s="97"/>
      <c r="V50" s="95"/>
      <c r="W50" s="96"/>
      <c r="X50" s="97"/>
      <c r="Y50" s="95"/>
      <c r="Z50" s="96"/>
      <c r="AA50" s="97"/>
      <c r="AB50" s="95"/>
      <c r="AC50" s="96"/>
      <c r="AD50" s="97"/>
      <c r="AE50" s="95"/>
      <c r="AF50" s="96"/>
      <c r="AG50" s="105"/>
      <c r="AH50" s="231">
        <f>+Janvier!AJ50</f>
        <v>2981.6208791208792</v>
      </c>
      <c r="AI50" s="231">
        <f>+Janvier!AK50</f>
        <v>9276.1538461538476</v>
      </c>
      <c r="AJ50" s="231">
        <f>+Janvier!AL50</f>
        <v>6957.1153846153857</v>
      </c>
      <c r="AK50" s="231">
        <f>+Janvier!AM50</f>
        <v>6957.1153846153857</v>
      </c>
      <c r="AL50" s="231">
        <f>+Janvier!AN50</f>
        <v>4216.4335664335667</v>
      </c>
      <c r="AM50" s="231">
        <f>+Janvier!AO50</f>
        <v>2608.9182692307691</v>
      </c>
      <c r="AN50" s="231">
        <f>+Janvier!AP50</f>
        <v>5217.8365384615381</v>
      </c>
      <c r="AO50" s="231">
        <f>+Janvier!AQ50</f>
        <v>2608.9182692307691</v>
      </c>
      <c r="AP50" s="231">
        <f>+Janvier!AR50</f>
        <v>2608.9182692307691</v>
      </c>
      <c r="AQ50" s="231">
        <f>+Janvier!AS50</f>
        <v>4638.0769230769238</v>
      </c>
      <c r="AR50" s="16">
        <f t="shared" si="78"/>
        <v>0</v>
      </c>
      <c r="AS50" s="16">
        <f t="shared" si="79"/>
        <v>0</v>
      </c>
      <c r="AT50" s="16">
        <f t="shared" si="80"/>
        <v>0</v>
      </c>
      <c r="AU50" s="16">
        <f t="shared" si="81"/>
        <v>0</v>
      </c>
      <c r="AV50" s="16">
        <f t="shared" si="82"/>
        <v>0</v>
      </c>
      <c r="AW50" s="16">
        <f t="shared" si="83"/>
        <v>0</v>
      </c>
      <c r="AX50" s="16">
        <f t="shared" si="84"/>
        <v>0</v>
      </c>
      <c r="AY50" s="16">
        <f t="shared" si="85"/>
        <v>0</v>
      </c>
      <c r="AZ50" s="16">
        <f t="shared" si="86"/>
        <v>0</v>
      </c>
      <c r="BA50" s="17">
        <f t="shared" si="87"/>
        <v>0</v>
      </c>
    </row>
    <row r="51" spans="1:53" ht="15.6" x14ac:dyDescent="0.3">
      <c r="A51" s="199" t="s">
        <v>53</v>
      </c>
      <c r="B51" s="94"/>
      <c r="C51" s="94"/>
      <c r="D51" s="107"/>
      <c r="E51" s="96"/>
      <c r="F51" s="97"/>
      <c r="G51" s="95"/>
      <c r="H51" s="96"/>
      <c r="I51" s="105"/>
      <c r="J51" s="95"/>
      <c r="K51" s="96"/>
      <c r="L51" s="97"/>
      <c r="M51" s="95"/>
      <c r="N51" s="96"/>
      <c r="O51" s="97"/>
      <c r="P51" s="95"/>
      <c r="Q51" s="96"/>
      <c r="R51" s="97"/>
      <c r="S51" s="95"/>
      <c r="T51" s="96"/>
      <c r="U51" s="97"/>
      <c r="V51" s="95"/>
      <c r="W51" s="96"/>
      <c r="X51" s="97"/>
      <c r="Y51" s="95"/>
      <c r="Z51" s="96"/>
      <c r="AA51" s="97"/>
      <c r="AB51" s="95"/>
      <c r="AC51" s="96"/>
      <c r="AD51" s="97"/>
      <c r="AE51" s="95"/>
      <c r="AF51" s="96"/>
      <c r="AG51" s="105"/>
      <c r="AH51" s="231">
        <f>+Janvier!AJ51</f>
        <v>168.87362637362639</v>
      </c>
      <c r="AI51" s="231">
        <f>+Janvier!AK51</f>
        <v>525.38461538461547</v>
      </c>
      <c r="AJ51" s="231">
        <f>+Janvier!AL51</f>
        <v>394.0384615384616</v>
      </c>
      <c r="AK51" s="231">
        <f>+Janvier!AM51</f>
        <v>394.0384615384616</v>
      </c>
      <c r="AL51" s="231">
        <f>+Janvier!AN51</f>
        <v>238.81118881118883</v>
      </c>
      <c r="AM51" s="231">
        <f>+Janvier!AO51</f>
        <v>147.76442307692309</v>
      </c>
      <c r="AN51" s="231">
        <f>+Janvier!AP51</f>
        <v>295.52884615384619</v>
      </c>
      <c r="AO51" s="231">
        <f>+Janvier!AQ51</f>
        <v>147.76442307692309</v>
      </c>
      <c r="AP51" s="231">
        <f>+Janvier!AR51</f>
        <v>147.76442307692309</v>
      </c>
      <c r="AQ51" s="231">
        <f>+Janvier!AS51</f>
        <v>262.69230769230774</v>
      </c>
      <c r="AR51" s="16">
        <f t="shared" si="78"/>
        <v>0</v>
      </c>
      <c r="AS51" s="16">
        <f t="shared" si="79"/>
        <v>0</v>
      </c>
      <c r="AT51" s="16">
        <f t="shared" si="80"/>
        <v>0</v>
      </c>
      <c r="AU51" s="16">
        <f t="shared" si="81"/>
        <v>0</v>
      </c>
      <c r="AV51" s="16">
        <f t="shared" si="82"/>
        <v>0</v>
      </c>
      <c r="AW51" s="16">
        <f t="shared" si="83"/>
        <v>0</v>
      </c>
      <c r="AX51" s="16">
        <f t="shared" si="84"/>
        <v>0</v>
      </c>
      <c r="AY51" s="16">
        <f t="shared" si="85"/>
        <v>0</v>
      </c>
      <c r="AZ51" s="16">
        <f t="shared" si="86"/>
        <v>0</v>
      </c>
      <c r="BA51" s="17">
        <f t="shared" si="87"/>
        <v>0</v>
      </c>
    </row>
    <row r="52" spans="1:53" ht="15.6" x14ac:dyDescent="0.3">
      <c r="A52" s="199" t="s">
        <v>54</v>
      </c>
      <c r="B52" s="94"/>
      <c r="C52" s="94"/>
      <c r="D52" s="107"/>
      <c r="E52" s="96"/>
      <c r="F52" s="97"/>
      <c r="G52" s="95"/>
      <c r="H52" s="96"/>
      <c r="I52" s="105"/>
      <c r="J52" s="95"/>
      <c r="K52" s="96"/>
      <c r="L52" s="97"/>
      <c r="M52" s="95"/>
      <c r="N52" s="96"/>
      <c r="O52" s="97"/>
      <c r="P52" s="95"/>
      <c r="Q52" s="96"/>
      <c r="R52" s="97"/>
      <c r="S52" s="95"/>
      <c r="T52" s="96"/>
      <c r="U52" s="97"/>
      <c r="V52" s="95"/>
      <c r="W52" s="96"/>
      <c r="X52" s="97"/>
      <c r="Y52" s="95"/>
      <c r="Z52" s="96"/>
      <c r="AA52" s="97"/>
      <c r="AB52" s="95"/>
      <c r="AC52" s="96"/>
      <c r="AD52" s="97"/>
      <c r="AE52" s="95"/>
      <c r="AF52" s="96"/>
      <c r="AG52" s="105"/>
      <c r="AH52" s="231">
        <f>+Janvier!AJ52</f>
        <v>1001.7445054945053</v>
      </c>
      <c r="AI52" s="231">
        <f>+Janvier!AK52</f>
        <v>3116.5384615384614</v>
      </c>
      <c r="AJ52" s="231">
        <f>+Janvier!AL52</f>
        <v>2337.4038461538462</v>
      </c>
      <c r="AK52" s="231">
        <f>+Janvier!AM52</f>
        <v>2337.4038461538462</v>
      </c>
      <c r="AL52" s="231">
        <f>+Janvier!AN52</f>
        <v>1416.6083916083917</v>
      </c>
      <c r="AM52" s="231">
        <f>+Janvier!AO52</f>
        <v>876.52644230769226</v>
      </c>
      <c r="AN52" s="231">
        <f>+Janvier!AP52</f>
        <v>1753.0528846153845</v>
      </c>
      <c r="AO52" s="231">
        <f>+Janvier!AQ52</f>
        <v>876.52644230769226</v>
      </c>
      <c r="AP52" s="231">
        <f>+Janvier!AR52</f>
        <v>876.52644230769226</v>
      </c>
      <c r="AQ52" s="231">
        <f>+Janvier!AS52</f>
        <v>1558.2692307692307</v>
      </c>
      <c r="AR52" s="16">
        <f t="shared" si="78"/>
        <v>0</v>
      </c>
      <c r="AS52" s="16">
        <f t="shared" si="79"/>
        <v>0</v>
      </c>
      <c r="AT52" s="16">
        <f t="shared" si="80"/>
        <v>0</v>
      </c>
      <c r="AU52" s="16">
        <f t="shared" si="81"/>
        <v>0</v>
      </c>
      <c r="AV52" s="16">
        <f t="shared" si="82"/>
        <v>0</v>
      </c>
      <c r="AW52" s="16">
        <f t="shared" si="83"/>
        <v>0</v>
      </c>
      <c r="AX52" s="16">
        <f t="shared" si="84"/>
        <v>0</v>
      </c>
      <c r="AY52" s="16">
        <f t="shared" si="85"/>
        <v>0</v>
      </c>
      <c r="AZ52" s="16">
        <f t="shared" si="86"/>
        <v>0</v>
      </c>
      <c r="BA52" s="17">
        <f t="shared" si="87"/>
        <v>0</v>
      </c>
    </row>
    <row r="53" spans="1:53" ht="16.2" thickBot="1" x14ac:dyDescent="0.35">
      <c r="A53" s="200" t="s">
        <v>55</v>
      </c>
      <c r="B53" s="255"/>
      <c r="C53" s="255"/>
      <c r="D53" s="249"/>
      <c r="E53" s="260"/>
      <c r="F53" s="261"/>
      <c r="G53" s="111"/>
      <c r="H53" s="109"/>
      <c r="I53" s="112"/>
      <c r="J53" s="111"/>
      <c r="K53" s="109"/>
      <c r="L53" s="110"/>
      <c r="M53" s="111"/>
      <c r="N53" s="109"/>
      <c r="O53" s="110"/>
      <c r="P53" s="111"/>
      <c r="Q53" s="109"/>
      <c r="R53" s="110"/>
      <c r="S53" s="111"/>
      <c r="T53" s="109"/>
      <c r="U53" s="110"/>
      <c r="V53" s="111"/>
      <c r="W53" s="109"/>
      <c r="X53" s="110"/>
      <c r="Y53" s="111"/>
      <c r="Z53" s="109"/>
      <c r="AA53" s="110"/>
      <c r="AB53" s="111"/>
      <c r="AC53" s="109"/>
      <c r="AD53" s="110"/>
      <c r="AE53" s="111"/>
      <c r="AF53" s="109"/>
      <c r="AG53" s="112"/>
      <c r="AH53" s="231">
        <f>+Janvier!AJ53</f>
        <v>269.25824175824175</v>
      </c>
      <c r="AI53" s="231">
        <f>+Janvier!AK53</f>
        <v>837.69230769230774</v>
      </c>
      <c r="AJ53" s="231">
        <f>+Janvier!AL53</f>
        <v>628.26923076923083</v>
      </c>
      <c r="AK53" s="231">
        <f>+Janvier!AM53</f>
        <v>628.26923076923083</v>
      </c>
      <c r="AL53" s="231">
        <f>+Janvier!AN53</f>
        <v>380.76923076923083</v>
      </c>
      <c r="AM53" s="231">
        <f>+Janvier!AO53</f>
        <v>235.60096153846155</v>
      </c>
      <c r="AN53" s="231">
        <f>+Janvier!AP53</f>
        <v>471.20192307692309</v>
      </c>
      <c r="AO53" s="231">
        <f>+Janvier!AQ53</f>
        <v>235.60096153846155</v>
      </c>
      <c r="AP53" s="231">
        <f>+Janvier!AR53</f>
        <v>235.60096153846155</v>
      </c>
      <c r="AQ53" s="231">
        <f>+Janvier!AS53</f>
        <v>418.84615384615387</v>
      </c>
      <c r="AR53" s="32">
        <f t="shared" si="78"/>
        <v>0</v>
      </c>
      <c r="AS53" s="32">
        <f t="shared" si="79"/>
        <v>0</v>
      </c>
      <c r="AT53" s="32">
        <f t="shared" si="80"/>
        <v>0</v>
      </c>
      <c r="AU53" s="32">
        <f t="shared" si="81"/>
        <v>0</v>
      </c>
      <c r="AV53" s="32">
        <f t="shared" si="82"/>
        <v>0</v>
      </c>
      <c r="AW53" s="32">
        <f t="shared" si="83"/>
        <v>0</v>
      </c>
      <c r="AX53" s="32">
        <f t="shared" si="84"/>
        <v>0</v>
      </c>
      <c r="AY53" s="32">
        <f t="shared" si="85"/>
        <v>0</v>
      </c>
      <c r="AZ53" s="32">
        <f t="shared" si="86"/>
        <v>0</v>
      </c>
      <c r="BA53" s="33">
        <f t="shared" si="87"/>
        <v>0</v>
      </c>
    </row>
    <row r="54" spans="1:53" ht="15.6" x14ac:dyDescent="0.3">
      <c r="A54" s="201" t="s">
        <v>146</v>
      </c>
      <c r="B54" s="256"/>
      <c r="C54" s="259"/>
      <c r="D54" s="125"/>
      <c r="E54" s="123"/>
      <c r="F54" s="124"/>
      <c r="G54" s="125"/>
      <c r="H54" s="123"/>
      <c r="I54" s="124"/>
      <c r="J54" s="125"/>
      <c r="K54" s="123"/>
      <c r="L54" s="124"/>
      <c r="M54" s="125"/>
      <c r="N54" s="123"/>
      <c r="O54" s="124"/>
      <c r="P54" s="125"/>
      <c r="Q54" s="123"/>
      <c r="R54" s="124"/>
      <c r="S54" s="125"/>
      <c r="T54" s="123"/>
      <c r="U54" s="124"/>
      <c r="V54" s="125"/>
      <c r="W54" s="123"/>
      <c r="X54" s="124"/>
      <c r="Y54" s="125"/>
      <c r="Z54" s="123"/>
      <c r="AA54" s="124"/>
      <c r="AB54" s="125"/>
      <c r="AC54" s="123"/>
      <c r="AD54" s="124"/>
      <c r="AE54" s="125"/>
      <c r="AF54" s="123"/>
      <c r="AG54" s="124"/>
      <c r="AH54" s="265">
        <f>+Janvier!AJ54</f>
        <v>63310.376250000001</v>
      </c>
      <c r="AI54" s="231">
        <f>+Janvier!AK54</f>
        <v>217816.00961538462</v>
      </c>
      <c r="AJ54" s="231">
        <f>+Janvier!AL54</f>
        <v>145065.46240384618</v>
      </c>
      <c r="AK54" s="231">
        <f>+Janvier!AM54</f>
        <v>145065.46240384618</v>
      </c>
      <c r="AL54" s="231">
        <f>+Janvier!AN54</f>
        <v>91482.724038461543</v>
      </c>
      <c r="AM54" s="231">
        <f>+Janvier!AO54</f>
        <v>54454.002403846156</v>
      </c>
      <c r="AN54" s="231">
        <f>+Janvier!AP54</f>
        <v>108908.00480769231</v>
      </c>
      <c r="AO54" s="231">
        <f>+Janvier!AQ54</f>
        <v>54454.002403846156</v>
      </c>
      <c r="AP54" s="231">
        <f>+Janvier!AR54</f>
        <v>54454.002403846156</v>
      </c>
      <c r="AQ54" s="231">
        <f>+Janvier!AS54</f>
        <v>98286.038653846175</v>
      </c>
      <c r="AR54" s="16">
        <f>ROUND(E54/(AH54/15),0)</f>
        <v>0</v>
      </c>
      <c r="AS54" s="16">
        <f t="shared" ref="AS54" si="88">ROUND(H54/(AI54/15),0)</f>
        <v>0</v>
      </c>
      <c r="AT54" s="16">
        <f t="shared" ref="AT54" si="89">ROUND(K54/(AJ54/15),0)</f>
        <v>0</v>
      </c>
      <c r="AU54" s="16">
        <f t="shared" ref="AU54" si="90">ROUND(N54/(AK54/15),0)</f>
        <v>0</v>
      </c>
      <c r="AV54" s="16">
        <f t="shared" ref="AV54" si="91">ROUND(Q54/(AL54/15),0)</f>
        <v>0</v>
      </c>
      <c r="AW54" s="16">
        <f t="shared" ref="AW54" si="92">ROUND(T54/(AM54/15),0)</f>
        <v>0</v>
      </c>
      <c r="AX54" s="16">
        <f t="shared" ref="AX54" si="93">ROUND(W54/(AN54/15),0)</f>
        <v>0</v>
      </c>
      <c r="AY54" s="16">
        <f t="shared" ref="AY54" si="94">ROUND(Z54/(AO54/15),0)</f>
        <v>0</v>
      </c>
      <c r="AZ54" s="16">
        <f t="shared" ref="AZ54" si="95">ROUND(AC54/(AP54/15),0)</f>
        <v>0</v>
      </c>
      <c r="BA54" s="17">
        <f t="shared" ref="BA54" si="96">ROUND(AF54/(AQ54/15),0)</f>
        <v>0</v>
      </c>
    </row>
    <row r="55" spans="1:53" ht="15.6" x14ac:dyDescent="0.3">
      <c r="A55" s="199" t="s">
        <v>21</v>
      </c>
      <c r="B55" s="257"/>
      <c r="C55" s="233"/>
      <c r="D55" s="95"/>
      <c r="E55" s="96"/>
      <c r="F55" s="97"/>
      <c r="G55" s="95"/>
      <c r="H55" s="96"/>
      <c r="I55" s="97"/>
      <c r="J55" s="95"/>
      <c r="K55" s="96"/>
      <c r="L55" s="97"/>
      <c r="M55" s="95"/>
      <c r="N55" s="96"/>
      <c r="O55" s="97"/>
      <c r="P55" s="95"/>
      <c r="Q55" s="96"/>
      <c r="R55" s="97"/>
      <c r="S55" s="95"/>
      <c r="T55" s="96"/>
      <c r="U55" s="97"/>
      <c r="V55" s="95"/>
      <c r="W55" s="96"/>
      <c r="X55" s="97"/>
      <c r="Y55" s="95"/>
      <c r="Z55" s="96"/>
      <c r="AA55" s="97"/>
      <c r="AB55" s="95"/>
      <c r="AC55" s="96"/>
      <c r="AD55" s="97"/>
      <c r="AE55" s="95"/>
      <c r="AF55" s="96"/>
      <c r="AG55" s="97"/>
      <c r="AH55" s="265">
        <f>+Janvier!AJ55</f>
        <v>1099.4093406593406</v>
      </c>
      <c r="AI55" s="231">
        <f>+Janvier!AK55</f>
        <v>3420.3846153846152</v>
      </c>
      <c r="AJ55" s="231">
        <f>+Janvier!AL55</f>
        <v>2565.2884615384614</v>
      </c>
      <c r="AK55" s="231">
        <f>+Janvier!AM55</f>
        <v>2565.2884615384614</v>
      </c>
      <c r="AL55" s="231">
        <f>+Janvier!AN55</f>
        <v>1554.7202797202797</v>
      </c>
      <c r="AM55" s="231">
        <f>+Janvier!AO55</f>
        <v>961.98317307692309</v>
      </c>
      <c r="AN55" s="231">
        <f>+Janvier!AP55</f>
        <v>1923.9663461538462</v>
      </c>
      <c r="AO55" s="231">
        <f>+Janvier!AQ55</f>
        <v>961.98317307692309</v>
      </c>
      <c r="AP55" s="231">
        <f>+Janvier!AR55</f>
        <v>961.98317307692309</v>
      </c>
      <c r="AQ55" s="231">
        <f>+Janvier!AS55</f>
        <v>1710.1923076923076</v>
      </c>
      <c r="AR55" s="16">
        <f t="shared" ref="AR55:AR67" si="97">ROUND(E55/(AH55/5),0)</f>
        <v>0</v>
      </c>
      <c r="AS55" s="16">
        <f t="shared" ref="AS55:AS67" si="98">ROUND(H55/(AI55/5),0)</f>
        <v>0</v>
      </c>
      <c r="AT55" s="16">
        <f t="shared" ref="AT55:AT67" si="99">ROUND(K55/(AJ55/5),0)</f>
        <v>0</v>
      </c>
      <c r="AU55" s="16">
        <f t="shared" ref="AU55:AU67" si="100">ROUND(N55/(AK55/5),0)</f>
        <v>0</v>
      </c>
      <c r="AV55" s="16">
        <f t="shared" ref="AV55:AV67" si="101">ROUND(Q55/(AL55/5),0)</f>
        <v>0</v>
      </c>
      <c r="AW55" s="16">
        <f t="shared" ref="AW55:AW67" si="102">ROUND(T55/(AM55/5),0)</f>
        <v>0</v>
      </c>
      <c r="AX55" s="16">
        <f t="shared" ref="AX55:AX67" si="103">ROUND(W55/(AN55/5),0)</f>
        <v>0</v>
      </c>
      <c r="AY55" s="16">
        <f t="shared" ref="AY55:AY67" si="104">ROUND(Z55/(AO55/5),0)</f>
        <v>0</v>
      </c>
      <c r="AZ55" s="16">
        <f t="shared" ref="AZ55:AZ67" si="105">ROUND(AC55/(AP55/5),0)</f>
        <v>0</v>
      </c>
      <c r="BA55" s="17">
        <f t="shared" ref="BA55:BA67" si="106">ROUND(AF55/(AQ55/5),0)</f>
        <v>0</v>
      </c>
    </row>
    <row r="56" spans="1:53" ht="15.6" x14ac:dyDescent="0.3">
      <c r="A56" s="199" t="s">
        <v>22</v>
      </c>
      <c r="B56" s="257"/>
      <c r="C56" s="233"/>
      <c r="D56" s="95"/>
      <c r="E56" s="96"/>
      <c r="F56" s="97"/>
      <c r="G56" s="95"/>
      <c r="H56" s="96"/>
      <c r="I56" s="97"/>
      <c r="J56" s="95"/>
      <c r="K56" s="96"/>
      <c r="L56" s="97"/>
      <c r="M56" s="95"/>
      <c r="N56" s="96"/>
      <c r="O56" s="97"/>
      <c r="P56" s="95"/>
      <c r="Q56" s="96"/>
      <c r="R56" s="97"/>
      <c r="S56" s="95"/>
      <c r="T56" s="96"/>
      <c r="U56" s="97"/>
      <c r="V56" s="95"/>
      <c r="W56" s="96"/>
      <c r="X56" s="97"/>
      <c r="Y56" s="95"/>
      <c r="Z56" s="96"/>
      <c r="AA56" s="97"/>
      <c r="AB56" s="95"/>
      <c r="AC56" s="96"/>
      <c r="AD56" s="97"/>
      <c r="AE56" s="95"/>
      <c r="AF56" s="96"/>
      <c r="AG56" s="97"/>
      <c r="AH56" s="265">
        <f>+Janvier!AJ56</f>
        <v>434.54670329670336</v>
      </c>
      <c r="AI56" s="231">
        <f>+Janvier!AK56</f>
        <v>1351.9230769230767</v>
      </c>
      <c r="AJ56" s="231">
        <f>+Janvier!AL56</f>
        <v>1013.9423076923077</v>
      </c>
      <c r="AK56" s="231">
        <f>+Janvier!AM56</f>
        <v>1013.9423076923077</v>
      </c>
      <c r="AL56" s="231">
        <f>+Janvier!AN56</f>
        <v>614.51048951048949</v>
      </c>
      <c r="AM56" s="231">
        <f>+Janvier!AO56</f>
        <v>380.22836538461542</v>
      </c>
      <c r="AN56" s="231">
        <f>+Janvier!AP56</f>
        <v>760.45673076923083</v>
      </c>
      <c r="AO56" s="231">
        <f>+Janvier!AQ56</f>
        <v>380.22836538461542</v>
      </c>
      <c r="AP56" s="231">
        <f>+Janvier!AR56</f>
        <v>380.22836538461542</v>
      </c>
      <c r="AQ56" s="231">
        <f>+Janvier!AS56</f>
        <v>675.96153846153834</v>
      </c>
      <c r="AR56" s="16">
        <f t="shared" si="97"/>
        <v>0</v>
      </c>
      <c r="AS56" s="16">
        <f t="shared" si="98"/>
        <v>0</v>
      </c>
      <c r="AT56" s="16">
        <f t="shared" si="99"/>
        <v>0</v>
      </c>
      <c r="AU56" s="16">
        <f t="shared" si="100"/>
        <v>0</v>
      </c>
      <c r="AV56" s="16">
        <f t="shared" si="101"/>
        <v>0</v>
      </c>
      <c r="AW56" s="16">
        <f t="shared" si="102"/>
        <v>0</v>
      </c>
      <c r="AX56" s="16">
        <f t="shared" si="103"/>
        <v>0</v>
      </c>
      <c r="AY56" s="16">
        <f t="shared" si="104"/>
        <v>0</v>
      </c>
      <c r="AZ56" s="16">
        <f t="shared" si="105"/>
        <v>0</v>
      </c>
      <c r="BA56" s="17">
        <f t="shared" si="106"/>
        <v>0</v>
      </c>
    </row>
    <row r="57" spans="1:53" ht="15.6" x14ac:dyDescent="0.3">
      <c r="A57" s="199" t="s">
        <v>25</v>
      </c>
      <c r="B57" s="257"/>
      <c r="C57" s="233"/>
      <c r="D57" s="95"/>
      <c r="E57" s="96"/>
      <c r="F57" s="97"/>
      <c r="G57" s="95"/>
      <c r="H57" s="96"/>
      <c r="I57" s="97"/>
      <c r="J57" s="95"/>
      <c r="K57" s="96"/>
      <c r="L57" s="97"/>
      <c r="M57" s="95"/>
      <c r="N57" s="96"/>
      <c r="O57" s="97"/>
      <c r="P57" s="95"/>
      <c r="Q57" s="96"/>
      <c r="R57" s="97"/>
      <c r="S57" s="95"/>
      <c r="T57" s="96"/>
      <c r="U57" s="97"/>
      <c r="V57" s="95"/>
      <c r="W57" s="96"/>
      <c r="X57" s="97"/>
      <c r="Y57" s="95"/>
      <c r="Z57" s="96"/>
      <c r="AA57" s="97"/>
      <c r="AB57" s="95"/>
      <c r="AC57" s="96"/>
      <c r="AD57" s="97"/>
      <c r="AE57" s="95"/>
      <c r="AF57" s="96"/>
      <c r="AG57" s="97"/>
      <c r="AH57" s="265">
        <f>+Janvier!AJ57</f>
        <v>816.30494505494516</v>
      </c>
      <c r="AI57" s="231">
        <f>+Janvier!AK57</f>
        <v>2539.6153846153848</v>
      </c>
      <c r="AJ57" s="231">
        <f>+Janvier!AL57</f>
        <v>1904.7115384615383</v>
      </c>
      <c r="AK57" s="231">
        <f>+Janvier!AM57</f>
        <v>1904.7115384615383</v>
      </c>
      <c r="AL57" s="231">
        <f>+Janvier!AN57</f>
        <v>1154.3706293706296</v>
      </c>
      <c r="AM57" s="231">
        <f>+Janvier!AO57</f>
        <v>714.26682692307691</v>
      </c>
      <c r="AN57" s="231">
        <f>+Janvier!AP57</f>
        <v>1428.5336538461538</v>
      </c>
      <c r="AO57" s="231">
        <f>+Janvier!AQ57</f>
        <v>714.26682692307691</v>
      </c>
      <c r="AP57" s="231">
        <f>+Janvier!AR57</f>
        <v>714.26682692307691</v>
      </c>
      <c r="AQ57" s="231">
        <f>+Janvier!AS57</f>
        <v>1269.8076923076924</v>
      </c>
      <c r="AR57" s="16">
        <f t="shared" si="97"/>
        <v>0</v>
      </c>
      <c r="AS57" s="16">
        <f t="shared" si="98"/>
        <v>0</v>
      </c>
      <c r="AT57" s="16">
        <f t="shared" si="99"/>
        <v>0</v>
      </c>
      <c r="AU57" s="16">
        <f t="shared" si="100"/>
        <v>0</v>
      </c>
      <c r="AV57" s="16">
        <f t="shared" si="101"/>
        <v>0</v>
      </c>
      <c r="AW57" s="16">
        <f t="shared" si="102"/>
        <v>0</v>
      </c>
      <c r="AX57" s="16">
        <f t="shared" si="103"/>
        <v>0</v>
      </c>
      <c r="AY57" s="16">
        <f t="shared" si="104"/>
        <v>0</v>
      </c>
      <c r="AZ57" s="16">
        <f t="shared" si="105"/>
        <v>0</v>
      </c>
      <c r="BA57" s="17">
        <f t="shared" si="106"/>
        <v>0</v>
      </c>
    </row>
    <row r="58" spans="1:53" ht="15.6" x14ac:dyDescent="0.3">
      <c r="A58" s="199" t="s">
        <v>23</v>
      </c>
      <c r="B58" s="257"/>
      <c r="C58" s="233"/>
      <c r="D58" s="95"/>
      <c r="E58" s="96"/>
      <c r="F58" s="97"/>
      <c r="G58" s="95"/>
      <c r="H58" s="96"/>
      <c r="I58" s="97"/>
      <c r="J58" s="95"/>
      <c r="K58" s="96"/>
      <c r="L58" s="97"/>
      <c r="M58" s="95"/>
      <c r="N58" s="96"/>
      <c r="O58" s="97"/>
      <c r="P58" s="95"/>
      <c r="Q58" s="96"/>
      <c r="R58" s="97"/>
      <c r="S58" s="95"/>
      <c r="T58" s="96"/>
      <c r="U58" s="97"/>
      <c r="V58" s="95"/>
      <c r="W58" s="96"/>
      <c r="X58" s="97"/>
      <c r="Y58" s="95"/>
      <c r="Z58" s="96"/>
      <c r="AA58" s="97"/>
      <c r="AB58" s="95"/>
      <c r="AC58" s="96"/>
      <c r="AD58" s="97"/>
      <c r="AE58" s="95"/>
      <c r="AF58" s="96"/>
      <c r="AG58" s="97"/>
      <c r="AH58" s="265">
        <f>+Janvier!AJ58</f>
        <v>510.08241758241758</v>
      </c>
      <c r="AI58" s="231">
        <f>+Janvier!AK58</f>
        <v>1586.9230769230767</v>
      </c>
      <c r="AJ58" s="231">
        <f>+Janvier!AL58</f>
        <v>1190.1923076923078</v>
      </c>
      <c r="AK58" s="231">
        <f>+Janvier!AM58</f>
        <v>1190.1923076923078</v>
      </c>
      <c r="AL58" s="231">
        <f>+Janvier!AN58</f>
        <v>721.32867132867148</v>
      </c>
      <c r="AM58" s="231">
        <f>+Janvier!AO58</f>
        <v>446.32211538461542</v>
      </c>
      <c r="AN58" s="231">
        <f>+Janvier!AP58</f>
        <v>892.64423076923083</v>
      </c>
      <c r="AO58" s="231">
        <f>+Janvier!AQ58</f>
        <v>446.32211538461542</v>
      </c>
      <c r="AP58" s="231">
        <f>+Janvier!AR58</f>
        <v>446.32211538461542</v>
      </c>
      <c r="AQ58" s="231">
        <f>+Janvier!AS58</f>
        <v>793.46153846153834</v>
      </c>
      <c r="AR58" s="16">
        <f t="shared" si="97"/>
        <v>0</v>
      </c>
      <c r="AS58" s="16">
        <f t="shared" si="98"/>
        <v>0</v>
      </c>
      <c r="AT58" s="16">
        <f t="shared" si="99"/>
        <v>0</v>
      </c>
      <c r="AU58" s="16">
        <f t="shared" si="100"/>
        <v>0</v>
      </c>
      <c r="AV58" s="16">
        <f t="shared" si="101"/>
        <v>0</v>
      </c>
      <c r="AW58" s="16">
        <f t="shared" si="102"/>
        <v>0</v>
      </c>
      <c r="AX58" s="16">
        <f t="shared" si="103"/>
        <v>0</v>
      </c>
      <c r="AY58" s="16">
        <f t="shared" si="104"/>
        <v>0</v>
      </c>
      <c r="AZ58" s="16">
        <f t="shared" si="105"/>
        <v>0</v>
      </c>
      <c r="BA58" s="17">
        <f t="shared" si="106"/>
        <v>0</v>
      </c>
    </row>
    <row r="59" spans="1:53" ht="15.6" x14ac:dyDescent="0.3">
      <c r="A59" s="199" t="s">
        <v>24</v>
      </c>
      <c r="B59" s="257"/>
      <c r="C59" s="233"/>
      <c r="D59" s="95"/>
      <c r="E59" s="96"/>
      <c r="F59" s="97"/>
      <c r="G59" s="95"/>
      <c r="H59" s="96"/>
      <c r="I59" s="97"/>
      <c r="J59" s="95"/>
      <c r="K59" s="96"/>
      <c r="L59" s="97"/>
      <c r="M59" s="95"/>
      <c r="N59" s="96"/>
      <c r="O59" s="97"/>
      <c r="P59" s="95"/>
      <c r="Q59" s="96"/>
      <c r="R59" s="97"/>
      <c r="S59" s="95"/>
      <c r="T59" s="96"/>
      <c r="U59" s="97"/>
      <c r="V59" s="95"/>
      <c r="W59" s="96"/>
      <c r="X59" s="97"/>
      <c r="Y59" s="95"/>
      <c r="Z59" s="96"/>
      <c r="AA59" s="97"/>
      <c r="AB59" s="95"/>
      <c r="AC59" s="96"/>
      <c r="AD59" s="97"/>
      <c r="AE59" s="95"/>
      <c r="AF59" s="96"/>
      <c r="AG59" s="97"/>
      <c r="AH59" s="265">
        <f>+Janvier!AJ59</f>
        <v>646.8131868131868</v>
      </c>
      <c r="AI59" s="231">
        <f>+Janvier!AK59</f>
        <v>2012.3076923076924</v>
      </c>
      <c r="AJ59" s="231">
        <f>+Janvier!AL59</f>
        <v>1509.2307692307693</v>
      </c>
      <c r="AK59" s="231">
        <f>+Janvier!AM59</f>
        <v>1509.2307692307693</v>
      </c>
      <c r="AL59" s="231">
        <f>+Janvier!AN59</f>
        <v>914.68531468531478</v>
      </c>
      <c r="AM59" s="231">
        <f>+Janvier!AO59</f>
        <v>565.96153846153845</v>
      </c>
      <c r="AN59" s="231">
        <f>+Janvier!AP59</f>
        <v>1131.9230769230769</v>
      </c>
      <c r="AO59" s="231">
        <f>+Janvier!AQ59</f>
        <v>565.96153846153845</v>
      </c>
      <c r="AP59" s="231">
        <f>+Janvier!AR59</f>
        <v>565.96153846153845</v>
      </c>
      <c r="AQ59" s="231">
        <f>+Janvier!AS59</f>
        <v>1006.1538461538462</v>
      </c>
      <c r="AR59" s="16">
        <f t="shared" si="97"/>
        <v>0</v>
      </c>
      <c r="AS59" s="16">
        <f t="shared" si="98"/>
        <v>0</v>
      </c>
      <c r="AT59" s="16">
        <f t="shared" si="99"/>
        <v>0</v>
      </c>
      <c r="AU59" s="16">
        <f t="shared" si="100"/>
        <v>0</v>
      </c>
      <c r="AV59" s="16">
        <f t="shared" si="101"/>
        <v>0</v>
      </c>
      <c r="AW59" s="16">
        <f t="shared" si="102"/>
        <v>0</v>
      </c>
      <c r="AX59" s="16">
        <f t="shared" si="103"/>
        <v>0</v>
      </c>
      <c r="AY59" s="16">
        <f t="shared" si="104"/>
        <v>0</v>
      </c>
      <c r="AZ59" s="16">
        <f t="shared" si="105"/>
        <v>0</v>
      </c>
      <c r="BA59" s="17">
        <f t="shared" si="106"/>
        <v>0</v>
      </c>
    </row>
    <row r="60" spans="1:53" ht="15.6" x14ac:dyDescent="0.3">
      <c r="A60" s="199" t="s">
        <v>26</v>
      </c>
      <c r="B60" s="257"/>
      <c r="C60" s="233"/>
      <c r="D60" s="95"/>
      <c r="E60" s="96"/>
      <c r="F60" s="97"/>
      <c r="G60" s="95"/>
      <c r="H60" s="96"/>
      <c r="I60" s="97"/>
      <c r="J60" s="95"/>
      <c r="K60" s="96"/>
      <c r="L60" s="97"/>
      <c r="M60" s="95"/>
      <c r="N60" s="96"/>
      <c r="O60" s="97"/>
      <c r="P60" s="95"/>
      <c r="Q60" s="96"/>
      <c r="R60" s="97"/>
      <c r="S60" s="95"/>
      <c r="T60" s="96"/>
      <c r="U60" s="97"/>
      <c r="V60" s="95"/>
      <c r="W60" s="96"/>
      <c r="X60" s="97"/>
      <c r="Y60" s="95"/>
      <c r="Z60" s="96"/>
      <c r="AA60" s="97"/>
      <c r="AB60" s="95"/>
      <c r="AC60" s="96"/>
      <c r="AD60" s="97"/>
      <c r="AE60" s="95"/>
      <c r="AF60" s="96"/>
      <c r="AG60" s="97"/>
      <c r="AH60" s="265">
        <f>+Janvier!AJ60</f>
        <v>2337.1565934065934</v>
      </c>
      <c r="AI60" s="231">
        <f>+Janvier!AK60</f>
        <v>7271.1538461538466</v>
      </c>
      <c r="AJ60" s="231">
        <f>+Janvier!AL60</f>
        <v>5453.3653846153848</v>
      </c>
      <c r="AK60" s="231">
        <f>+Janvier!AM60</f>
        <v>5453.3653846153848</v>
      </c>
      <c r="AL60" s="231">
        <f>+Janvier!AN60</f>
        <v>3305.0699300699303</v>
      </c>
      <c r="AM60" s="231">
        <f>+Janvier!AO60</f>
        <v>2045.0120192307693</v>
      </c>
      <c r="AN60" s="231">
        <f>+Janvier!AP60</f>
        <v>4090.0240384615386</v>
      </c>
      <c r="AO60" s="231">
        <f>+Janvier!AQ60</f>
        <v>2045.0120192307693</v>
      </c>
      <c r="AP60" s="231">
        <f>+Janvier!AR60</f>
        <v>2045.0120192307693</v>
      </c>
      <c r="AQ60" s="231">
        <f>+Janvier!AS60</f>
        <v>3635.5769230769233</v>
      </c>
      <c r="AR60" s="16">
        <f t="shared" si="97"/>
        <v>0</v>
      </c>
      <c r="AS60" s="16">
        <f t="shared" si="98"/>
        <v>0</v>
      </c>
      <c r="AT60" s="16">
        <f t="shared" si="99"/>
        <v>0</v>
      </c>
      <c r="AU60" s="16">
        <f t="shared" si="100"/>
        <v>0</v>
      </c>
      <c r="AV60" s="16">
        <f t="shared" si="101"/>
        <v>0</v>
      </c>
      <c r="AW60" s="16">
        <f t="shared" si="102"/>
        <v>0</v>
      </c>
      <c r="AX60" s="16">
        <f t="shared" si="103"/>
        <v>0</v>
      </c>
      <c r="AY60" s="16">
        <f t="shared" si="104"/>
        <v>0</v>
      </c>
      <c r="AZ60" s="16">
        <f t="shared" si="105"/>
        <v>0</v>
      </c>
      <c r="BA60" s="17">
        <f t="shared" si="106"/>
        <v>0</v>
      </c>
    </row>
    <row r="61" spans="1:53" ht="15.6" x14ac:dyDescent="0.3">
      <c r="A61" s="199" t="s">
        <v>27</v>
      </c>
      <c r="B61" s="257"/>
      <c r="C61" s="233"/>
      <c r="D61" s="95"/>
      <c r="E61" s="96"/>
      <c r="F61" s="97"/>
      <c r="G61" s="95"/>
      <c r="H61" s="96"/>
      <c r="I61" s="97"/>
      <c r="J61" s="95"/>
      <c r="K61" s="96"/>
      <c r="L61" s="97"/>
      <c r="M61" s="95"/>
      <c r="N61" s="96"/>
      <c r="O61" s="97"/>
      <c r="P61" s="95"/>
      <c r="Q61" s="96"/>
      <c r="R61" s="97"/>
      <c r="S61" s="95"/>
      <c r="T61" s="96"/>
      <c r="U61" s="97"/>
      <c r="V61" s="95"/>
      <c r="W61" s="96"/>
      <c r="X61" s="97"/>
      <c r="Y61" s="95"/>
      <c r="Z61" s="96"/>
      <c r="AA61" s="97"/>
      <c r="AB61" s="95"/>
      <c r="AC61" s="96"/>
      <c r="AD61" s="97"/>
      <c r="AE61" s="95"/>
      <c r="AF61" s="96"/>
      <c r="AG61" s="97"/>
      <c r="AH61" s="265">
        <f>+Janvier!AJ61</f>
        <v>1836.5934065934064</v>
      </c>
      <c r="AI61" s="231">
        <f>+Janvier!AK61</f>
        <v>5713.8461538461534</v>
      </c>
      <c r="AJ61" s="231">
        <f>+Janvier!AL61</f>
        <v>4285.3846153846152</v>
      </c>
      <c r="AK61" s="231">
        <f>+Janvier!AM61</f>
        <v>4285.3846153846152</v>
      </c>
      <c r="AL61" s="231">
        <f>+Janvier!AN61</f>
        <v>2597.2027972027972</v>
      </c>
      <c r="AM61" s="231">
        <f>+Janvier!AO61</f>
        <v>1607.0192307692307</v>
      </c>
      <c r="AN61" s="231">
        <f>+Janvier!AP61</f>
        <v>3214.0384615384614</v>
      </c>
      <c r="AO61" s="231">
        <f>+Janvier!AQ61</f>
        <v>1607.0192307692307</v>
      </c>
      <c r="AP61" s="231">
        <f>+Janvier!AR61</f>
        <v>1607.0192307692307</v>
      </c>
      <c r="AQ61" s="231">
        <f>+Janvier!AS61</f>
        <v>2856.9230769230767</v>
      </c>
      <c r="AR61" s="16">
        <f t="shared" si="97"/>
        <v>0</v>
      </c>
      <c r="AS61" s="16">
        <f t="shared" si="98"/>
        <v>0</v>
      </c>
      <c r="AT61" s="16">
        <f t="shared" si="99"/>
        <v>0</v>
      </c>
      <c r="AU61" s="16">
        <f t="shared" si="100"/>
        <v>0</v>
      </c>
      <c r="AV61" s="16">
        <f t="shared" si="101"/>
        <v>0</v>
      </c>
      <c r="AW61" s="16">
        <f t="shared" si="102"/>
        <v>0</v>
      </c>
      <c r="AX61" s="16">
        <f t="shared" si="103"/>
        <v>0</v>
      </c>
      <c r="AY61" s="16">
        <f t="shared" si="104"/>
        <v>0</v>
      </c>
      <c r="AZ61" s="16">
        <f t="shared" si="105"/>
        <v>0</v>
      </c>
      <c r="BA61" s="17">
        <f t="shared" si="106"/>
        <v>0</v>
      </c>
    </row>
    <row r="62" spans="1:53" ht="15.6" x14ac:dyDescent="0.3">
      <c r="A62" s="199" t="s">
        <v>28</v>
      </c>
      <c r="B62" s="257"/>
      <c r="C62" s="233"/>
      <c r="D62" s="95"/>
      <c r="E62" s="98"/>
      <c r="F62" s="97"/>
      <c r="G62" s="99"/>
      <c r="H62" s="98"/>
      <c r="I62" s="97"/>
      <c r="J62" s="99"/>
      <c r="K62" s="98"/>
      <c r="L62" s="97"/>
      <c r="M62" s="99"/>
      <c r="N62" s="98"/>
      <c r="O62" s="97"/>
      <c r="P62" s="99"/>
      <c r="Q62" s="98"/>
      <c r="R62" s="97"/>
      <c r="S62" s="99"/>
      <c r="T62" s="98"/>
      <c r="U62" s="97"/>
      <c r="V62" s="99"/>
      <c r="W62" s="98"/>
      <c r="X62" s="97"/>
      <c r="Y62" s="99"/>
      <c r="Z62" s="98"/>
      <c r="AA62" s="97"/>
      <c r="AB62" s="95"/>
      <c r="AC62" s="98"/>
      <c r="AD62" s="100"/>
      <c r="AE62" s="99"/>
      <c r="AF62" s="98"/>
      <c r="AG62" s="97"/>
      <c r="AH62" s="265">
        <f>+Janvier!AJ62</f>
        <v>3546.2225274725279</v>
      </c>
      <c r="AI62" s="231">
        <f>+Janvier!AK62</f>
        <v>11032.692307692307</v>
      </c>
      <c r="AJ62" s="231">
        <f>+Janvier!AL62</f>
        <v>8274.5192307692305</v>
      </c>
      <c r="AK62" s="231">
        <f>+Janvier!AM62</f>
        <v>8274.5192307692305</v>
      </c>
      <c r="AL62" s="231">
        <f>+Janvier!AN62</f>
        <v>5014.8601398601395</v>
      </c>
      <c r="AM62" s="231">
        <f>+Janvier!AO62</f>
        <v>3102.9447115384614</v>
      </c>
      <c r="AN62" s="231">
        <f>+Janvier!AP62</f>
        <v>6205.8894230769229</v>
      </c>
      <c r="AO62" s="231">
        <f>+Janvier!AQ62</f>
        <v>3102.9447115384614</v>
      </c>
      <c r="AP62" s="231">
        <f>+Janvier!AR62</f>
        <v>3102.9447115384614</v>
      </c>
      <c r="AQ62" s="231">
        <f>+Janvier!AS62</f>
        <v>5516.3461538461534</v>
      </c>
      <c r="AR62" s="16">
        <f t="shared" si="97"/>
        <v>0</v>
      </c>
      <c r="AS62" s="16">
        <f t="shared" si="98"/>
        <v>0</v>
      </c>
      <c r="AT62" s="16">
        <f t="shared" si="99"/>
        <v>0</v>
      </c>
      <c r="AU62" s="16">
        <f t="shared" si="100"/>
        <v>0</v>
      </c>
      <c r="AV62" s="16">
        <f t="shared" si="101"/>
        <v>0</v>
      </c>
      <c r="AW62" s="16">
        <f t="shared" si="102"/>
        <v>0</v>
      </c>
      <c r="AX62" s="16">
        <f t="shared" si="103"/>
        <v>0</v>
      </c>
      <c r="AY62" s="16">
        <f t="shared" si="104"/>
        <v>0</v>
      </c>
      <c r="AZ62" s="16">
        <f t="shared" si="105"/>
        <v>0</v>
      </c>
      <c r="BA62" s="17">
        <f t="shared" si="106"/>
        <v>0</v>
      </c>
    </row>
    <row r="63" spans="1:53" ht="15.6" x14ac:dyDescent="0.3">
      <c r="A63" s="199" t="s">
        <v>29</v>
      </c>
      <c r="B63" s="257"/>
      <c r="C63" s="233"/>
      <c r="D63" s="95"/>
      <c r="E63" s="98"/>
      <c r="F63" s="97"/>
      <c r="G63" s="99"/>
      <c r="H63" s="98"/>
      <c r="I63" s="97"/>
      <c r="J63" s="99"/>
      <c r="K63" s="98"/>
      <c r="L63" s="97"/>
      <c r="M63" s="99"/>
      <c r="N63" s="98"/>
      <c r="O63" s="97"/>
      <c r="P63" s="99"/>
      <c r="Q63" s="98"/>
      <c r="R63" s="97"/>
      <c r="S63" s="99"/>
      <c r="T63" s="98"/>
      <c r="U63" s="97"/>
      <c r="V63" s="99"/>
      <c r="W63" s="98"/>
      <c r="X63" s="97"/>
      <c r="Y63" s="99"/>
      <c r="Z63" s="98"/>
      <c r="AA63" s="97"/>
      <c r="AB63" s="95"/>
      <c r="AC63" s="98"/>
      <c r="AD63" s="97"/>
      <c r="AE63" s="99"/>
      <c r="AF63" s="98"/>
      <c r="AG63" s="97"/>
      <c r="AH63" s="265">
        <f>+Janvier!AJ63</f>
        <v>2493.4203296703299</v>
      </c>
      <c r="AI63" s="231">
        <f>+Janvier!AK63</f>
        <v>7757.3076923076942</v>
      </c>
      <c r="AJ63" s="231">
        <f>+Janvier!AL63</f>
        <v>5817.9807692307704</v>
      </c>
      <c r="AK63" s="231">
        <f>+Janvier!AM63</f>
        <v>5817.9807692307704</v>
      </c>
      <c r="AL63" s="231">
        <f>+Janvier!AN63</f>
        <v>3526.0489510489515</v>
      </c>
      <c r="AM63" s="231">
        <f>+Janvier!AO63</f>
        <v>2181.7427884615386</v>
      </c>
      <c r="AN63" s="231">
        <f>+Janvier!AP63</f>
        <v>4363.4855769230771</v>
      </c>
      <c r="AO63" s="231">
        <f>+Janvier!AQ63</f>
        <v>2181.7427884615386</v>
      </c>
      <c r="AP63" s="231">
        <f>+Janvier!AR63</f>
        <v>2181.7427884615386</v>
      </c>
      <c r="AQ63" s="231">
        <f>+Janvier!AS63</f>
        <v>3878.6538461538471</v>
      </c>
      <c r="AR63" s="16">
        <f t="shared" si="97"/>
        <v>0</v>
      </c>
      <c r="AS63" s="16">
        <f t="shared" si="98"/>
        <v>0</v>
      </c>
      <c r="AT63" s="16">
        <f t="shared" si="99"/>
        <v>0</v>
      </c>
      <c r="AU63" s="16">
        <f t="shared" si="100"/>
        <v>0</v>
      </c>
      <c r="AV63" s="16">
        <f t="shared" si="101"/>
        <v>0</v>
      </c>
      <c r="AW63" s="16">
        <f t="shared" si="102"/>
        <v>0</v>
      </c>
      <c r="AX63" s="16">
        <f t="shared" si="103"/>
        <v>0</v>
      </c>
      <c r="AY63" s="16">
        <f t="shared" si="104"/>
        <v>0</v>
      </c>
      <c r="AZ63" s="16">
        <f t="shared" si="105"/>
        <v>0</v>
      </c>
      <c r="BA63" s="17">
        <f t="shared" si="106"/>
        <v>0</v>
      </c>
    </row>
    <row r="64" spans="1:53" ht="15.6" x14ac:dyDescent="0.3">
      <c r="A64" s="199" t="s">
        <v>30</v>
      </c>
      <c r="B64" s="257"/>
      <c r="C64" s="233"/>
      <c r="D64" s="95"/>
      <c r="E64" s="98"/>
      <c r="F64" s="97"/>
      <c r="G64" s="99"/>
      <c r="H64" s="98"/>
      <c r="I64" s="97"/>
      <c r="J64" s="99"/>
      <c r="K64" s="98"/>
      <c r="L64" s="97"/>
      <c r="M64" s="99"/>
      <c r="N64" s="98"/>
      <c r="O64" s="97"/>
      <c r="P64" s="99"/>
      <c r="Q64" s="98"/>
      <c r="R64" s="97"/>
      <c r="S64" s="99"/>
      <c r="T64" s="98"/>
      <c r="U64" s="97"/>
      <c r="V64" s="99"/>
      <c r="W64" s="98"/>
      <c r="X64" s="97"/>
      <c r="Y64" s="99"/>
      <c r="Z64" s="98"/>
      <c r="AA64" s="97"/>
      <c r="AB64" s="95"/>
      <c r="AC64" s="98"/>
      <c r="AD64" s="97"/>
      <c r="AE64" s="99"/>
      <c r="AF64" s="98"/>
      <c r="AG64" s="97"/>
      <c r="AH64" s="265">
        <f>+Janvier!AJ64</f>
        <v>1338.1318681318683</v>
      </c>
      <c r="AI64" s="231">
        <f>+Janvier!AK64</f>
        <v>4163.0769230769229</v>
      </c>
      <c r="AJ64" s="231">
        <f>+Janvier!AL64</f>
        <v>3122.3076923076928</v>
      </c>
      <c r="AK64" s="231">
        <f>+Janvier!AM64</f>
        <v>3122.3076923076928</v>
      </c>
      <c r="AL64" s="231">
        <f>+Janvier!AN64</f>
        <v>1892.3076923076926</v>
      </c>
      <c r="AM64" s="231">
        <f>+Janvier!AO64</f>
        <v>1170.8653846153848</v>
      </c>
      <c r="AN64" s="231">
        <f>+Janvier!AP64</f>
        <v>2341.7307692307695</v>
      </c>
      <c r="AO64" s="231">
        <f>+Janvier!AQ64</f>
        <v>1170.8653846153848</v>
      </c>
      <c r="AP64" s="231">
        <f>+Janvier!AR64</f>
        <v>1170.8653846153848</v>
      </c>
      <c r="AQ64" s="231">
        <f>+Janvier!AS64</f>
        <v>2081.5384615384614</v>
      </c>
      <c r="AR64" s="16">
        <f t="shared" si="97"/>
        <v>0</v>
      </c>
      <c r="AS64" s="16">
        <f t="shared" si="98"/>
        <v>0</v>
      </c>
      <c r="AT64" s="16">
        <f t="shared" si="99"/>
        <v>0</v>
      </c>
      <c r="AU64" s="16">
        <f t="shared" si="100"/>
        <v>0</v>
      </c>
      <c r="AV64" s="16">
        <f t="shared" si="101"/>
        <v>0</v>
      </c>
      <c r="AW64" s="16">
        <f t="shared" si="102"/>
        <v>0</v>
      </c>
      <c r="AX64" s="16">
        <f t="shared" si="103"/>
        <v>0</v>
      </c>
      <c r="AY64" s="16">
        <f t="shared" si="104"/>
        <v>0</v>
      </c>
      <c r="AZ64" s="16">
        <f t="shared" si="105"/>
        <v>0</v>
      </c>
      <c r="BA64" s="17">
        <f t="shared" si="106"/>
        <v>0</v>
      </c>
    </row>
    <row r="65" spans="1:53" ht="15.6" x14ac:dyDescent="0.3">
      <c r="A65" s="199" t="s">
        <v>31</v>
      </c>
      <c r="B65" s="257"/>
      <c r="C65" s="233"/>
      <c r="D65" s="95"/>
      <c r="E65" s="98"/>
      <c r="F65" s="97"/>
      <c r="G65" s="99"/>
      <c r="H65" s="98"/>
      <c r="I65" s="97"/>
      <c r="J65" s="99"/>
      <c r="K65" s="98"/>
      <c r="L65" s="97"/>
      <c r="M65" s="99"/>
      <c r="N65" s="98"/>
      <c r="O65" s="97"/>
      <c r="P65" s="99"/>
      <c r="Q65" s="98"/>
      <c r="R65" s="97"/>
      <c r="S65" s="99"/>
      <c r="T65" s="98"/>
      <c r="U65" s="97"/>
      <c r="V65" s="99"/>
      <c r="W65" s="98"/>
      <c r="X65" s="97"/>
      <c r="Y65" s="99"/>
      <c r="Z65" s="98"/>
      <c r="AA65" s="97"/>
      <c r="AB65" s="95"/>
      <c r="AC65" s="98"/>
      <c r="AD65" s="97"/>
      <c r="AE65" s="99"/>
      <c r="AF65" s="98"/>
      <c r="AG65" s="97"/>
      <c r="AH65" s="265">
        <f>+Janvier!AJ65</f>
        <v>2561.7857142857147</v>
      </c>
      <c r="AI65" s="231">
        <f>+Janvier!AK65</f>
        <v>7970</v>
      </c>
      <c r="AJ65" s="231">
        <f>+Janvier!AL65</f>
        <v>5977.4999999999991</v>
      </c>
      <c r="AK65" s="231">
        <f>+Janvier!AM65</f>
        <v>5977.4999999999991</v>
      </c>
      <c r="AL65" s="231">
        <f>+Janvier!AN65</f>
        <v>3622.727272727273</v>
      </c>
      <c r="AM65" s="231">
        <f>+Janvier!AO65</f>
        <v>2241.5625</v>
      </c>
      <c r="AN65" s="231">
        <f>+Janvier!AP65</f>
        <v>4483.125</v>
      </c>
      <c r="AO65" s="231">
        <f>+Janvier!AQ65</f>
        <v>2241.5625</v>
      </c>
      <c r="AP65" s="231">
        <f>+Janvier!AR65</f>
        <v>2241.5625</v>
      </c>
      <c r="AQ65" s="231">
        <f>+Janvier!AS65</f>
        <v>3985</v>
      </c>
      <c r="AR65" s="16">
        <f t="shared" si="97"/>
        <v>0</v>
      </c>
      <c r="AS65" s="16">
        <f t="shared" si="98"/>
        <v>0</v>
      </c>
      <c r="AT65" s="16">
        <f t="shared" si="99"/>
        <v>0</v>
      </c>
      <c r="AU65" s="16">
        <f t="shared" si="100"/>
        <v>0</v>
      </c>
      <c r="AV65" s="16">
        <f t="shared" si="101"/>
        <v>0</v>
      </c>
      <c r="AW65" s="16">
        <f t="shared" si="102"/>
        <v>0</v>
      </c>
      <c r="AX65" s="16">
        <f t="shared" si="103"/>
        <v>0</v>
      </c>
      <c r="AY65" s="16">
        <f t="shared" si="104"/>
        <v>0</v>
      </c>
      <c r="AZ65" s="16">
        <f t="shared" si="105"/>
        <v>0</v>
      </c>
      <c r="BA65" s="17">
        <f t="shared" si="106"/>
        <v>0</v>
      </c>
    </row>
    <row r="66" spans="1:53" ht="15.6" x14ac:dyDescent="0.3">
      <c r="A66" s="199" t="s">
        <v>32</v>
      </c>
      <c r="B66" s="257"/>
      <c r="C66" s="233"/>
      <c r="D66" s="95"/>
      <c r="E66" s="98"/>
      <c r="F66" s="97"/>
      <c r="G66" s="99"/>
      <c r="H66" s="98"/>
      <c r="I66" s="97"/>
      <c r="J66" s="99"/>
      <c r="K66" s="98"/>
      <c r="L66" s="97"/>
      <c r="M66" s="99"/>
      <c r="N66" s="98"/>
      <c r="O66" s="97"/>
      <c r="P66" s="99"/>
      <c r="Q66" s="98"/>
      <c r="R66" s="97"/>
      <c r="S66" s="99"/>
      <c r="T66" s="98"/>
      <c r="U66" s="97"/>
      <c r="V66" s="99"/>
      <c r="W66" s="98"/>
      <c r="X66" s="97"/>
      <c r="Y66" s="99"/>
      <c r="Z66" s="98"/>
      <c r="AA66" s="97"/>
      <c r="AB66" s="95"/>
      <c r="AC66" s="98"/>
      <c r="AD66" s="97"/>
      <c r="AE66" s="99"/>
      <c r="AF66" s="98"/>
      <c r="AG66" s="97"/>
      <c r="AH66" s="265">
        <f>+Janvier!AJ66</f>
        <v>1732.3763736263736</v>
      </c>
      <c r="AI66" s="231">
        <f>+Janvier!AK66</f>
        <v>5389.6153846153857</v>
      </c>
      <c r="AJ66" s="231">
        <f>+Janvier!AL66</f>
        <v>4042.211538461539</v>
      </c>
      <c r="AK66" s="231">
        <f>+Janvier!AM66</f>
        <v>4042.211538461539</v>
      </c>
      <c r="AL66" s="231">
        <f>+Janvier!AN66</f>
        <v>2449.8251748251751</v>
      </c>
      <c r="AM66" s="231">
        <f>+Janvier!AO66</f>
        <v>1515.8293269230767</v>
      </c>
      <c r="AN66" s="231">
        <f>+Janvier!AP66</f>
        <v>3031.6586538461534</v>
      </c>
      <c r="AO66" s="231">
        <f>+Janvier!AQ66</f>
        <v>1515.8293269230767</v>
      </c>
      <c r="AP66" s="231">
        <f>+Janvier!AR66</f>
        <v>1515.8293269230767</v>
      </c>
      <c r="AQ66" s="231">
        <f>+Janvier!AS66</f>
        <v>2694.8076923076928</v>
      </c>
      <c r="AR66" s="16">
        <f t="shared" si="97"/>
        <v>0</v>
      </c>
      <c r="AS66" s="16">
        <f t="shared" si="98"/>
        <v>0</v>
      </c>
      <c r="AT66" s="16">
        <f t="shared" si="99"/>
        <v>0</v>
      </c>
      <c r="AU66" s="16">
        <f t="shared" si="100"/>
        <v>0</v>
      </c>
      <c r="AV66" s="16">
        <f t="shared" si="101"/>
        <v>0</v>
      </c>
      <c r="AW66" s="16">
        <f t="shared" si="102"/>
        <v>0</v>
      </c>
      <c r="AX66" s="16">
        <f t="shared" si="103"/>
        <v>0</v>
      </c>
      <c r="AY66" s="16">
        <f t="shared" si="104"/>
        <v>0</v>
      </c>
      <c r="AZ66" s="16">
        <f t="shared" si="105"/>
        <v>0</v>
      </c>
      <c r="BA66" s="17">
        <f t="shared" si="106"/>
        <v>0</v>
      </c>
    </row>
    <row r="67" spans="1:53" ht="16.2" thickBot="1" x14ac:dyDescent="0.35">
      <c r="A67" s="199" t="s">
        <v>33</v>
      </c>
      <c r="B67" s="270"/>
      <c r="C67" s="271"/>
      <c r="D67" s="111"/>
      <c r="E67" s="263"/>
      <c r="F67" s="110"/>
      <c r="G67" s="264"/>
      <c r="H67" s="263"/>
      <c r="I67" s="110"/>
      <c r="J67" s="264"/>
      <c r="K67" s="263"/>
      <c r="L67" s="110"/>
      <c r="M67" s="264"/>
      <c r="N67" s="263"/>
      <c r="O67" s="110"/>
      <c r="P67" s="264"/>
      <c r="Q67" s="263"/>
      <c r="R67" s="110"/>
      <c r="S67" s="264"/>
      <c r="T67" s="263"/>
      <c r="U67" s="110"/>
      <c r="V67" s="264"/>
      <c r="W67" s="263"/>
      <c r="X67" s="110"/>
      <c r="Y67" s="264"/>
      <c r="Z67" s="263"/>
      <c r="AA67" s="110"/>
      <c r="AB67" s="111"/>
      <c r="AC67" s="263"/>
      <c r="AD67" s="110"/>
      <c r="AE67" s="266"/>
      <c r="AF67" s="267"/>
      <c r="AG67" s="261"/>
      <c r="AH67" s="265">
        <f>+Janvier!AJ67</f>
        <v>1391.4148351648353</v>
      </c>
      <c r="AI67" s="231">
        <f>+Janvier!AK67</f>
        <v>4328.8461538461534</v>
      </c>
      <c r="AJ67" s="231">
        <f>+Janvier!AL67</f>
        <v>3246.6346153846152</v>
      </c>
      <c r="AK67" s="231">
        <f>+Janvier!AM67</f>
        <v>3246.6346153846152</v>
      </c>
      <c r="AL67" s="231">
        <f>+Janvier!AN67</f>
        <v>1967.6573426573427</v>
      </c>
      <c r="AM67" s="231">
        <f>+Janvier!AO67</f>
        <v>1217.4879807692307</v>
      </c>
      <c r="AN67" s="231">
        <f>+Janvier!AP67</f>
        <v>2434.9759615384614</v>
      </c>
      <c r="AO67" s="231">
        <f>+Janvier!AQ67</f>
        <v>1217.4879807692307</v>
      </c>
      <c r="AP67" s="231">
        <f>+Janvier!AR67</f>
        <v>1217.4879807692307</v>
      </c>
      <c r="AQ67" s="231">
        <f>+Janvier!AS67</f>
        <v>2164.4230769230767</v>
      </c>
      <c r="AR67" s="32">
        <f t="shared" si="97"/>
        <v>0</v>
      </c>
      <c r="AS67" s="32">
        <f t="shared" si="98"/>
        <v>0</v>
      </c>
      <c r="AT67" s="32">
        <f t="shared" si="99"/>
        <v>0</v>
      </c>
      <c r="AU67" s="32">
        <f t="shared" si="100"/>
        <v>0</v>
      </c>
      <c r="AV67" s="32">
        <f t="shared" si="101"/>
        <v>0</v>
      </c>
      <c r="AW67" s="32">
        <f t="shared" si="102"/>
        <v>0</v>
      </c>
      <c r="AX67" s="32">
        <f t="shared" si="103"/>
        <v>0</v>
      </c>
      <c r="AY67" s="32">
        <f t="shared" si="104"/>
        <v>0</v>
      </c>
      <c r="AZ67" s="32">
        <f t="shared" si="105"/>
        <v>0</v>
      </c>
      <c r="BA67" s="33">
        <f t="shared" si="106"/>
        <v>0</v>
      </c>
    </row>
    <row r="68" spans="1:53" ht="15.6" x14ac:dyDescent="0.3">
      <c r="A68" s="202" t="s">
        <v>86</v>
      </c>
      <c r="B68" s="256"/>
      <c r="C68" s="160"/>
      <c r="D68" s="268"/>
      <c r="E68" s="123"/>
      <c r="F68" s="124"/>
      <c r="G68" s="125"/>
      <c r="H68" s="123"/>
      <c r="I68" s="124"/>
      <c r="J68" s="125"/>
      <c r="K68" s="123"/>
      <c r="L68" s="124"/>
      <c r="M68" s="125"/>
      <c r="N68" s="123"/>
      <c r="O68" s="124"/>
      <c r="P68" s="125"/>
      <c r="Q68" s="123"/>
      <c r="R68" s="124"/>
      <c r="S68" s="125"/>
      <c r="T68" s="123"/>
      <c r="U68" s="124"/>
      <c r="V68" s="125"/>
      <c r="W68" s="123"/>
      <c r="X68" s="124"/>
      <c r="Y68" s="125"/>
      <c r="Z68" s="123"/>
      <c r="AA68" s="124"/>
      <c r="AB68" s="125"/>
      <c r="AC68" s="123"/>
      <c r="AD68" s="124"/>
      <c r="AE68" s="125"/>
      <c r="AF68" s="123"/>
      <c r="AG68" s="124"/>
      <c r="AH68" s="265">
        <f>+Janvier!AJ68</f>
        <v>88119.9</v>
      </c>
      <c r="AI68" s="231">
        <f>+Janvier!AK68</f>
        <v>305254.47115384619</v>
      </c>
      <c r="AJ68" s="231">
        <f>+Janvier!AL68</f>
        <v>203299.47778846158</v>
      </c>
      <c r="AK68" s="231">
        <f>+Janvier!AM68</f>
        <v>203299.47778846158</v>
      </c>
      <c r="AL68" s="231">
        <f>+Janvier!AN68</f>
        <v>128206.87788461539</v>
      </c>
      <c r="AM68" s="231">
        <f>+Janvier!AO68</f>
        <v>76313.617788461546</v>
      </c>
      <c r="AN68" s="231">
        <f>+Janvier!AP68</f>
        <v>152627.23557692309</v>
      </c>
      <c r="AO68" s="231">
        <f>+Janvier!AQ68</f>
        <v>76313.617788461546</v>
      </c>
      <c r="AP68" s="231">
        <f>+Janvier!AR68</f>
        <v>76313.617788461546</v>
      </c>
      <c r="AQ68" s="231">
        <f>+Janvier!AS68</f>
        <v>136801.52307692307</v>
      </c>
      <c r="AR68" s="16">
        <f>ROUND(E68/(AH68/15),0)</f>
        <v>0</v>
      </c>
      <c r="AS68" s="16">
        <f t="shared" ref="AS68" si="107">ROUND(H68/(AI68/15),0)</f>
        <v>0</v>
      </c>
      <c r="AT68" s="16">
        <f t="shared" ref="AT68" si="108">ROUND(K68/(AJ68/15),0)</f>
        <v>0</v>
      </c>
      <c r="AU68" s="16">
        <f t="shared" ref="AU68" si="109">ROUND(N68/(AK68/15),0)</f>
        <v>0</v>
      </c>
      <c r="AV68" s="16">
        <f t="shared" ref="AV68" si="110">ROUND(Q68/(AL68/15),0)</f>
        <v>0</v>
      </c>
      <c r="AW68" s="16">
        <f t="shared" ref="AW68" si="111">ROUND(T68/(AM68/15),0)</f>
        <v>0</v>
      </c>
      <c r="AX68" s="16">
        <f t="shared" ref="AX68" si="112">ROUND(W68/(AN68/15),0)</f>
        <v>0</v>
      </c>
      <c r="AY68" s="16">
        <f t="shared" ref="AY68" si="113">ROUND(Z68/(AO68/15),0)</f>
        <v>0</v>
      </c>
      <c r="AZ68" s="16">
        <f t="shared" ref="AZ68" si="114">ROUND(AC68/(AP68/15),0)</f>
        <v>0</v>
      </c>
      <c r="BA68" s="17">
        <f t="shared" ref="BA68" si="115">ROUND(AF68/(AQ68/15),0)</f>
        <v>0</v>
      </c>
    </row>
    <row r="69" spans="1:53" ht="15.6" x14ac:dyDescent="0.3">
      <c r="A69" s="199" t="s">
        <v>63</v>
      </c>
      <c r="B69" s="257"/>
      <c r="C69" s="94"/>
      <c r="D69" s="237"/>
      <c r="E69" s="96"/>
      <c r="F69" s="97"/>
      <c r="G69" s="95"/>
      <c r="H69" s="96"/>
      <c r="I69" s="97"/>
      <c r="J69" s="95"/>
      <c r="K69" s="96"/>
      <c r="L69" s="97"/>
      <c r="M69" s="95"/>
      <c r="N69" s="96"/>
      <c r="O69" s="97"/>
      <c r="P69" s="95"/>
      <c r="Q69" s="96"/>
      <c r="R69" s="97"/>
      <c r="S69" s="95"/>
      <c r="T69" s="96"/>
      <c r="U69" s="97"/>
      <c r="V69" s="95"/>
      <c r="W69" s="96"/>
      <c r="X69" s="97"/>
      <c r="Y69" s="95"/>
      <c r="Z69" s="96"/>
      <c r="AA69" s="97"/>
      <c r="AB69" s="95"/>
      <c r="AC69" s="96"/>
      <c r="AD69" s="97"/>
      <c r="AE69" s="95"/>
      <c r="AF69" s="96"/>
      <c r="AG69" s="97"/>
      <c r="AH69" s="265">
        <f>+Janvier!AJ69</f>
        <v>792.19780219780216</v>
      </c>
      <c r="AI69" s="231">
        <f>+Janvier!AK69</f>
        <v>2464.6153846153848</v>
      </c>
      <c r="AJ69" s="231">
        <f>+Janvier!AL69</f>
        <v>1848.4615384615383</v>
      </c>
      <c r="AK69" s="231">
        <f>+Janvier!AM69</f>
        <v>1848.4615384615383</v>
      </c>
      <c r="AL69" s="231">
        <f>+Janvier!AN69</f>
        <v>1120.2797202797203</v>
      </c>
      <c r="AM69" s="231">
        <f>+Janvier!AO69</f>
        <v>693.17307692307691</v>
      </c>
      <c r="AN69" s="231">
        <f>+Janvier!AP69</f>
        <v>1386.3461538461538</v>
      </c>
      <c r="AO69" s="231">
        <f>+Janvier!AQ69</f>
        <v>693.17307692307691</v>
      </c>
      <c r="AP69" s="231">
        <f>+Janvier!AR69</f>
        <v>693.17307692307691</v>
      </c>
      <c r="AQ69" s="231">
        <f>+Janvier!AS69</f>
        <v>1232.3076923076924</v>
      </c>
      <c r="AR69" s="16">
        <f t="shared" ref="AR69:AR79" si="116">ROUND(E69/(AH69/5),0)</f>
        <v>0</v>
      </c>
      <c r="AS69" s="16">
        <f t="shared" ref="AS69:AS79" si="117">ROUND(H69/(AI69/5),0)</f>
        <v>0</v>
      </c>
      <c r="AT69" s="16">
        <f t="shared" ref="AT69:AT79" si="118">ROUND(K69/(AJ69/5),0)</f>
        <v>0</v>
      </c>
      <c r="AU69" s="16">
        <f t="shared" ref="AU69:AU79" si="119">ROUND(N69/(AK69/5),0)</f>
        <v>0</v>
      </c>
      <c r="AV69" s="16">
        <f t="shared" ref="AV69:AV79" si="120">ROUND(Q69/(AL69/5),0)</f>
        <v>0</v>
      </c>
      <c r="AW69" s="16">
        <f t="shared" ref="AW69:AW79" si="121">ROUND(T69/(AM69/5),0)</f>
        <v>0</v>
      </c>
      <c r="AX69" s="16">
        <f t="shared" ref="AX69:AX79" si="122">ROUND(W69/(AN69/5),0)</f>
        <v>0</v>
      </c>
      <c r="AY69" s="16">
        <f t="shared" ref="AY69:AY79" si="123">ROUND(Z69/(AO69/5),0)</f>
        <v>0</v>
      </c>
      <c r="AZ69" s="16">
        <f t="shared" ref="AZ69:AZ79" si="124">ROUND(AC69/(AP69/5),0)</f>
        <v>0</v>
      </c>
      <c r="BA69" s="17">
        <f t="shared" ref="BA69:BA79" si="125">ROUND(AF69/(AQ69/5),0)</f>
        <v>0</v>
      </c>
    </row>
    <row r="70" spans="1:53" ht="15.6" x14ac:dyDescent="0.3">
      <c r="A70" s="199" t="s">
        <v>64</v>
      </c>
      <c r="B70" s="257"/>
      <c r="C70" s="94"/>
      <c r="D70" s="237"/>
      <c r="E70" s="96"/>
      <c r="F70" s="97"/>
      <c r="G70" s="95"/>
      <c r="H70" s="96"/>
      <c r="I70" s="97"/>
      <c r="J70" s="95"/>
      <c r="K70" s="96"/>
      <c r="L70" s="97"/>
      <c r="M70" s="95"/>
      <c r="N70" s="96"/>
      <c r="O70" s="97"/>
      <c r="P70" s="95"/>
      <c r="Q70" s="96"/>
      <c r="R70" s="97"/>
      <c r="S70" s="95"/>
      <c r="T70" s="96"/>
      <c r="U70" s="97"/>
      <c r="V70" s="95"/>
      <c r="W70" s="96"/>
      <c r="X70" s="97"/>
      <c r="Y70" s="95"/>
      <c r="Z70" s="96"/>
      <c r="AA70" s="97"/>
      <c r="AB70" s="95"/>
      <c r="AC70" s="96"/>
      <c r="AD70" s="97"/>
      <c r="AE70" s="95"/>
      <c r="AF70" s="96"/>
      <c r="AG70" s="97"/>
      <c r="AH70" s="265">
        <f>+Janvier!AJ70</f>
        <v>1980.7417582417584</v>
      </c>
      <c r="AI70" s="231">
        <f>+Janvier!AK70</f>
        <v>6162.3076923076933</v>
      </c>
      <c r="AJ70" s="231">
        <f>+Janvier!AL70</f>
        <v>4621.7307692307704</v>
      </c>
      <c r="AK70" s="231">
        <f>+Janvier!AM70</f>
        <v>4621.7307692307704</v>
      </c>
      <c r="AL70" s="231">
        <f>+Janvier!AN70</f>
        <v>2801.0489510489515</v>
      </c>
      <c r="AM70" s="231">
        <f>+Janvier!AO70</f>
        <v>1733.1490384615383</v>
      </c>
      <c r="AN70" s="231">
        <f>+Janvier!AP70</f>
        <v>3466.2980769230767</v>
      </c>
      <c r="AO70" s="231">
        <f>+Janvier!AQ70</f>
        <v>1733.1490384615383</v>
      </c>
      <c r="AP70" s="231">
        <f>+Janvier!AR70</f>
        <v>1733.1490384615383</v>
      </c>
      <c r="AQ70" s="231">
        <f>+Janvier!AS70</f>
        <v>3081.1538461538466</v>
      </c>
      <c r="AR70" s="16">
        <f t="shared" si="116"/>
        <v>0</v>
      </c>
      <c r="AS70" s="16">
        <f t="shared" si="117"/>
        <v>0</v>
      </c>
      <c r="AT70" s="16">
        <f t="shared" si="118"/>
        <v>0</v>
      </c>
      <c r="AU70" s="16">
        <f t="shared" si="119"/>
        <v>0</v>
      </c>
      <c r="AV70" s="16">
        <f t="shared" si="120"/>
        <v>0</v>
      </c>
      <c r="AW70" s="16">
        <f t="shared" si="121"/>
        <v>0</v>
      </c>
      <c r="AX70" s="16">
        <f t="shared" si="122"/>
        <v>0</v>
      </c>
      <c r="AY70" s="16">
        <f t="shared" si="123"/>
        <v>0</v>
      </c>
      <c r="AZ70" s="16">
        <f t="shared" si="124"/>
        <v>0</v>
      </c>
      <c r="BA70" s="17">
        <f t="shared" si="125"/>
        <v>0</v>
      </c>
    </row>
    <row r="71" spans="1:53" ht="15.6" x14ac:dyDescent="0.3">
      <c r="A71" s="199" t="s">
        <v>65</v>
      </c>
      <c r="B71" s="257"/>
      <c r="C71" s="94"/>
      <c r="D71" s="237"/>
      <c r="E71" s="96"/>
      <c r="F71" s="97"/>
      <c r="G71" s="95"/>
      <c r="H71" s="96"/>
      <c r="I71" s="97"/>
      <c r="J71" s="95"/>
      <c r="K71" s="96"/>
      <c r="L71" s="97"/>
      <c r="M71" s="95"/>
      <c r="N71" s="96"/>
      <c r="O71" s="97"/>
      <c r="P71" s="95"/>
      <c r="Q71" s="96"/>
      <c r="R71" s="97"/>
      <c r="S71" s="95"/>
      <c r="T71" s="96"/>
      <c r="U71" s="97"/>
      <c r="V71" s="95"/>
      <c r="W71" s="96"/>
      <c r="X71" s="97"/>
      <c r="Y71" s="95"/>
      <c r="Z71" s="96"/>
      <c r="AA71" s="97"/>
      <c r="AB71" s="95"/>
      <c r="AC71" s="96"/>
      <c r="AD71" s="97"/>
      <c r="AE71" s="95"/>
      <c r="AF71" s="96"/>
      <c r="AG71" s="97"/>
      <c r="AH71" s="265">
        <f>+Janvier!AJ71</f>
        <v>2906.4560439560446</v>
      </c>
      <c r="AI71" s="231">
        <f>+Janvier!AK71</f>
        <v>9042.3076923076933</v>
      </c>
      <c r="AJ71" s="231">
        <f>+Janvier!AL71</f>
        <v>6781.7307692307695</v>
      </c>
      <c r="AK71" s="231">
        <f>+Janvier!AM71</f>
        <v>6781.7307692307695</v>
      </c>
      <c r="AL71" s="231">
        <f>+Janvier!AN71</f>
        <v>4110.1398601398605</v>
      </c>
      <c r="AM71" s="231">
        <f>+Janvier!AO71</f>
        <v>2543.1490384615386</v>
      </c>
      <c r="AN71" s="231">
        <f>+Janvier!AP71</f>
        <v>5086.2980769230771</v>
      </c>
      <c r="AO71" s="231">
        <f>+Janvier!AQ71</f>
        <v>2543.1490384615386</v>
      </c>
      <c r="AP71" s="231">
        <f>+Janvier!AR71</f>
        <v>2543.1490384615386</v>
      </c>
      <c r="AQ71" s="231">
        <f>+Janvier!AS71</f>
        <v>4521.1538461538466</v>
      </c>
      <c r="AR71" s="16">
        <f t="shared" si="116"/>
        <v>0</v>
      </c>
      <c r="AS71" s="16">
        <f t="shared" si="117"/>
        <v>0</v>
      </c>
      <c r="AT71" s="16">
        <f t="shared" si="118"/>
        <v>0</v>
      </c>
      <c r="AU71" s="16">
        <f t="shared" si="119"/>
        <v>0</v>
      </c>
      <c r="AV71" s="16">
        <f t="shared" si="120"/>
        <v>0</v>
      </c>
      <c r="AW71" s="16">
        <f t="shared" si="121"/>
        <v>0</v>
      </c>
      <c r="AX71" s="16">
        <f t="shared" si="122"/>
        <v>0</v>
      </c>
      <c r="AY71" s="16">
        <f t="shared" si="123"/>
        <v>0</v>
      </c>
      <c r="AZ71" s="16">
        <f t="shared" si="124"/>
        <v>0</v>
      </c>
      <c r="BA71" s="17">
        <f t="shared" si="125"/>
        <v>0</v>
      </c>
    </row>
    <row r="72" spans="1:53" ht="15.6" x14ac:dyDescent="0.3">
      <c r="A72" s="203" t="s">
        <v>66</v>
      </c>
      <c r="B72" s="257"/>
      <c r="C72" s="94"/>
      <c r="D72" s="237"/>
      <c r="E72" s="96"/>
      <c r="F72" s="97"/>
      <c r="G72" s="95"/>
      <c r="H72" s="96"/>
      <c r="I72" s="97"/>
      <c r="J72" s="95"/>
      <c r="K72" s="96"/>
      <c r="L72" s="97"/>
      <c r="M72" s="95"/>
      <c r="N72" s="96"/>
      <c r="O72" s="97"/>
      <c r="P72" s="95"/>
      <c r="Q72" s="96"/>
      <c r="R72" s="97"/>
      <c r="S72" s="95"/>
      <c r="T72" s="96"/>
      <c r="U72" s="97"/>
      <c r="V72" s="95"/>
      <c r="W72" s="96"/>
      <c r="X72" s="97"/>
      <c r="Y72" s="95"/>
      <c r="Z72" s="96"/>
      <c r="AA72" s="97"/>
      <c r="AB72" s="95"/>
      <c r="AC72" s="96"/>
      <c r="AD72" s="97"/>
      <c r="AE72" s="95"/>
      <c r="AF72" s="96"/>
      <c r="AG72" s="97"/>
      <c r="AH72" s="265">
        <f>+Janvier!AJ72</f>
        <v>2692.335164835165</v>
      </c>
      <c r="AI72" s="231">
        <f>+Janvier!AK72</f>
        <v>8376.1538461538457</v>
      </c>
      <c r="AJ72" s="231">
        <f>+Janvier!AL72</f>
        <v>6282.1153846153857</v>
      </c>
      <c r="AK72" s="231">
        <f>+Janvier!AM72</f>
        <v>6282.1153846153857</v>
      </c>
      <c r="AL72" s="231">
        <f>+Janvier!AN72</f>
        <v>3807.3426573426577</v>
      </c>
      <c r="AM72" s="231">
        <f>+Janvier!AO72</f>
        <v>2355.7932692307695</v>
      </c>
      <c r="AN72" s="231">
        <f>+Janvier!AP72</f>
        <v>4711.586538461539</v>
      </c>
      <c r="AO72" s="231">
        <f>+Janvier!AQ72</f>
        <v>2355.7932692307695</v>
      </c>
      <c r="AP72" s="231">
        <f>+Janvier!AR72</f>
        <v>2355.7932692307695</v>
      </c>
      <c r="AQ72" s="231">
        <f>+Janvier!AS72</f>
        <v>4188.0769230769229</v>
      </c>
      <c r="AR72" s="16">
        <f t="shared" si="116"/>
        <v>0</v>
      </c>
      <c r="AS72" s="16">
        <f t="shared" si="117"/>
        <v>0</v>
      </c>
      <c r="AT72" s="16">
        <f t="shared" si="118"/>
        <v>0</v>
      </c>
      <c r="AU72" s="16">
        <f t="shared" si="119"/>
        <v>0</v>
      </c>
      <c r="AV72" s="16">
        <f t="shared" si="120"/>
        <v>0</v>
      </c>
      <c r="AW72" s="16">
        <f t="shared" si="121"/>
        <v>0</v>
      </c>
      <c r="AX72" s="16">
        <f t="shared" si="122"/>
        <v>0</v>
      </c>
      <c r="AY72" s="16">
        <f t="shared" si="123"/>
        <v>0</v>
      </c>
      <c r="AZ72" s="16">
        <f t="shared" si="124"/>
        <v>0</v>
      </c>
      <c r="BA72" s="17">
        <f t="shared" si="125"/>
        <v>0</v>
      </c>
    </row>
    <row r="73" spans="1:53" ht="15.6" x14ac:dyDescent="0.3">
      <c r="A73" s="203" t="s">
        <v>67</v>
      </c>
      <c r="B73" s="257"/>
      <c r="C73" s="94"/>
      <c r="D73" s="237"/>
      <c r="E73" s="96"/>
      <c r="F73" s="97"/>
      <c r="G73" s="95"/>
      <c r="H73" s="96"/>
      <c r="I73" s="97"/>
      <c r="J73" s="95"/>
      <c r="K73" s="96"/>
      <c r="L73" s="97"/>
      <c r="M73" s="95"/>
      <c r="N73" s="96"/>
      <c r="O73" s="97"/>
      <c r="P73" s="95"/>
      <c r="Q73" s="96"/>
      <c r="R73" s="97"/>
      <c r="S73" s="95"/>
      <c r="T73" s="96"/>
      <c r="U73" s="97"/>
      <c r="V73" s="95"/>
      <c r="W73" s="96"/>
      <c r="X73" s="97"/>
      <c r="Y73" s="95"/>
      <c r="Z73" s="96"/>
      <c r="AA73" s="97"/>
      <c r="AB73" s="95"/>
      <c r="AC73" s="96"/>
      <c r="AD73" s="97"/>
      <c r="AE73" s="95"/>
      <c r="AF73" s="96"/>
      <c r="AG73" s="97"/>
      <c r="AH73" s="265">
        <f>+Janvier!AJ73</f>
        <v>4744.9038461538466</v>
      </c>
      <c r="AI73" s="231">
        <f>+Janvier!AK73</f>
        <v>14761.923076923076</v>
      </c>
      <c r="AJ73" s="231">
        <f>+Janvier!AL73</f>
        <v>11071.442307692309</v>
      </c>
      <c r="AK73" s="231">
        <f>+Janvier!AM73</f>
        <v>11071.442307692309</v>
      </c>
      <c r="AL73" s="231">
        <f>+Janvier!AN73</f>
        <v>6709.9650349650356</v>
      </c>
      <c r="AM73" s="231">
        <f>+Janvier!AO73</f>
        <v>4151.7908653846152</v>
      </c>
      <c r="AN73" s="231">
        <f>+Janvier!AP73</f>
        <v>8303.5817307692305</v>
      </c>
      <c r="AO73" s="231">
        <f>+Janvier!AQ73</f>
        <v>4151.7908653846152</v>
      </c>
      <c r="AP73" s="231">
        <f>+Janvier!AR73</f>
        <v>4151.7908653846152</v>
      </c>
      <c r="AQ73" s="231">
        <f>+Janvier!AS73</f>
        <v>7380.9615384615381</v>
      </c>
      <c r="AR73" s="16">
        <f t="shared" si="116"/>
        <v>0</v>
      </c>
      <c r="AS73" s="16">
        <f t="shared" si="117"/>
        <v>0</v>
      </c>
      <c r="AT73" s="16">
        <f t="shared" si="118"/>
        <v>0</v>
      </c>
      <c r="AU73" s="16">
        <f t="shared" si="119"/>
        <v>0</v>
      </c>
      <c r="AV73" s="16">
        <f t="shared" si="120"/>
        <v>0</v>
      </c>
      <c r="AW73" s="16">
        <f t="shared" si="121"/>
        <v>0</v>
      </c>
      <c r="AX73" s="16">
        <f t="shared" si="122"/>
        <v>0</v>
      </c>
      <c r="AY73" s="16">
        <f t="shared" si="123"/>
        <v>0</v>
      </c>
      <c r="AZ73" s="16">
        <f t="shared" si="124"/>
        <v>0</v>
      </c>
      <c r="BA73" s="17">
        <f t="shared" si="125"/>
        <v>0</v>
      </c>
    </row>
    <row r="74" spans="1:53" ht="15.6" x14ac:dyDescent="0.3">
      <c r="A74" s="203" t="s">
        <v>68</v>
      </c>
      <c r="B74" s="257"/>
      <c r="C74" s="94"/>
      <c r="D74" s="237"/>
      <c r="E74" s="96"/>
      <c r="F74" s="97"/>
      <c r="G74" s="95"/>
      <c r="H74" s="96"/>
      <c r="I74" s="97"/>
      <c r="J74" s="95"/>
      <c r="K74" s="96"/>
      <c r="L74" s="97"/>
      <c r="M74" s="95"/>
      <c r="N74" s="96"/>
      <c r="O74" s="97"/>
      <c r="P74" s="95"/>
      <c r="Q74" s="96"/>
      <c r="R74" s="97"/>
      <c r="S74" s="95"/>
      <c r="T74" s="96"/>
      <c r="U74" s="97"/>
      <c r="V74" s="95"/>
      <c r="W74" s="96"/>
      <c r="X74" s="97"/>
      <c r="Y74" s="95"/>
      <c r="Z74" s="96"/>
      <c r="AA74" s="97"/>
      <c r="AB74" s="95"/>
      <c r="AC74" s="96"/>
      <c r="AD74" s="97"/>
      <c r="AE74" s="95"/>
      <c r="AF74" s="96"/>
      <c r="AG74" s="97"/>
      <c r="AH74" s="265">
        <f>+Janvier!AJ74</f>
        <v>3278.4478021978025</v>
      </c>
      <c r="AI74" s="231">
        <f>+Janvier!AK74</f>
        <v>10199.615384615387</v>
      </c>
      <c r="AJ74" s="231">
        <f>+Janvier!AL74</f>
        <v>7649.7115384615381</v>
      </c>
      <c r="AK74" s="231">
        <f>+Janvier!AM74</f>
        <v>7649.7115384615381</v>
      </c>
      <c r="AL74" s="231">
        <f>+Janvier!AN74</f>
        <v>4636.188811188812</v>
      </c>
      <c r="AM74" s="231">
        <f>+Janvier!AO74</f>
        <v>2868.6418269230771</v>
      </c>
      <c r="AN74" s="231">
        <f>+Janvier!AP74</f>
        <v>5737.2836538461543</v>
      </c>
      <c r="AO74" s="231">
        <f>+Janvier!AQ74</f>
        <v>2868.6418269230771</v>
      </c>
      <c r="AP74" s="231">
        <f>+Janvier!AR74</f>
        <v>2868.6418269230771</v>
      </c>
      <c r="AQ74" s="231">
        <f>+Janvier!AS74</f>
        <v>5099.8076923076933</v>
      </c>
      <c r="AR74" s="16">
        <f t="shared" si="116"/>
        <v>0</v>
      </c>
      <c r="AS74" s="16">
        <f t="shared" si="117"/>
        <v>0</v>
      </c>
      <c r="AT74" s="16">
        <f t="shared" si="118"/>
        <v>0</v>
      </c>
      <c r="AU74" s="16">
        <f t="shared" si="119"/>
        <v>0</v>
      </c>
      <c r="AV74" s="16">
        <f t="shared" si="120"/>
        <v>0</v>
      </c>
      <c r="AW74" s="16">
        <f t="shared" si="121"/>
        <v>0</v>
      </c>
      <c r="AX74" s="16">
        <f t="shared" si="122"/>
        <v>0</v>
      </c>
      <c r="AY74" s="16">
        <f t="shared" si="123"/>
        <v>0</v>
      </c>
      <c r="AZ74" s="16">
        <f t="shared" si="124"/>
        <v>0</v>
      </c>
      <c r="BA74" s="17">
        <f t="shared" si="125"/>
        <v>0</v>
      </c>
    </row>
    <row r="75" spans="1:53" ht="15.6" x14ac:dyDescent="0.3">
      <c r="A75" s="203" t="s">
        <v>69</v>
      </c>
      <c r="B75" s="257"/>
      <c r="C75" s="94"/>
      <c r="D75" s="237"/>
      <c r="E75" s="96"/>
      <c r="F75" s="97"/>
      <c r="G75" s="95"/>
      <c r="H75" s="96"/>
      <c r="I75" s="97"/>
      <c r="J75" s="95"/>
      <c r="K75" s="96"/>
      <c r="L75" s="97"/>
      <c r="M75" s="95"/>
      <c r="N75" s="96"/>
      <c r="O75" s="97"/>
      <c r="P75" s="95"/>
      <c r="Q75" s="96"/>
      <c r="R75" s="97"/>
      <c r="S75" s="95"/>
      <c r="T75" s="96"/>
      <c r="U75" s="97"/>
      <c r="V75" s="95"/>
      <c r="W75" s="96"/>
      <c r="X75" s="97"/>
      <c r="Y75" s="95"/>
      <c r="Z75" s="96"/>
      <c r="AA75" s="97"/>
      <c r="AB75" s="95"/>
      <c r="AC75" s="96"/>
      <c r="AD75" s="97"/>
      <c r="AE75" s="95"/>
      <c r="AF75" s="96"/>
      <c r="AG75" s="97"/>
      <c r="AH75" s="265">
        <f>+Janvier!AJ75</f>
        <v>4167.9395604395613</v>
      </c>
      <c r="AI75" s="231">
        <f>+Janvier!AK75</f>
        <v>12966.923076923082</v>
      </c>
      <c r="AJ75" s="231">
        <f>+Janvier!AL75</f>
        <v>9725.1923076923085</v>
      </c>
      <c r="AK75" s="231">
        <f>+Janvier!AM75</f>
        <v>9725.1923076923085</v>
      </c>
      <c r="AL75" s="231">
        <f>+Janvier!AN75</f>
        <v>5894.0559440559446</v>
      </c>
      <c r="AM75" s="231">
        <f>+Janvier!AO75</f>
        <v>3646.9471153846152</v>
      </c>
      <c r="AN75" s="231">
        <f>+Janvier!AP75</f>
        <v>7293.8942307692305</v>
      </c>
      <c r="AO75" s="231">
        <f>+Janvier!AQ75</f>
        <v>3646.9471153846152</v>
      </c>
      <c r="AP75" s="231">
        <f>+Janvier!AR75</f>
        <v>3646.9471153846152</v>
      </c>
      <c r="AQ75" s="231">
        <f>+Janvier!AS75</f>
        <v>6483.4615384615408</v>
      </c>
      <c r="AR75" s="16">
        <f t="shared" si="116"/>
        <v>0</v>
      </c>
      <c r="AS75" s="16">
        <f t="shared" si="117"/>
        <v>0</v>
      </c>
      <c r="AT75" s="16">
        <f t="shared" si="118"/>
        <v>0</v>
      </c>
      <c r="AU75" s="16">
        <f t="shared" si="119"/>
        <v>0</v>
      </c>
      <c r="AV75" s="16">
        <f t="shared" si="120"/>
        <v>0</v>
      </c>
      <c r="AW75" s="16">
        <f t="shared" si="121"/>
        <v>0</v>
      </c>
      <c r="AX75" s="16">
        <f t="shared" si="122"/>
        <v>0</v>
      </c>
      <c r="AY75" s="16">
        <f t="shared" si="123"/>
        <v>0</v>
      </c>
      <c r="AZ75" s="16">
        <f t="shared" si="124"/>
        <v>0</v>
      </c>
      <c r="BA75" s="17">
        <f t="shared" si="125"/>
        <v>0</v>
      </c>
    </row>
    <row r="76" spans="1:53" ht="15.6" x14ac:dyDescent="0.3">
      <c r="A76" s="203" t="s">
        <v>70</v>
      </c>
      <c r="B76" s="257"/>
      <c r="C76" s="94"/>
      <c r="D76" s="237"/>
      <c r="E76" s="96"/>
      <c r="F76" s="97"/>
      <c r="G76" s="95"/>
      <c r="H76" s="96"/>
      <c r="I76" s="97"/>
      <c r="J76" s="95"/>
      <c r="K76" s="96"/>
      <c r="L76" s="97"/>
      <c r="M76" s="95"/>
      <c r="N76" s="96"/>
      <c r="O76" s="97"/>
      <c r="P76" s="95"/>
      <c r="Q76" s="96"/>
      <c r="R76" s="97"/>
      <c r="S76" s="95"/>
      <c r="T76" s="96"/>
      <c r="U76" s="97"/>
      <c r="V76" s="95"/>
      <c r="W76" s="96"/>
      <c r="X76" s="97"/>
      <c r="Y76" s="95"/>
      <c r="Z76" s="96"/>
      <c r="AA76" s="97"/>
      <c r="AB76" s="95"/>
      <c r="AC76" s="96"/>
      <c r="AD76" s="97"/>
      <c r="AE76" s="95"/>
      <c r="AF76" s="96"/>
      <c r="AG76" s="97"/>
      <c r="AH76" s="265">
        <f>+Janvier!AJ76</f>
        <v>2027.1016483516485</v>
      </c>
      <c r="AI76" s="231">
        <f>+Janvier!AK76</f>
        <v>6306.5384615384628</v>
      </c>
      <c r="AJ76" s="231">
        <f>+Janvier!AL76</f>
        <v>4729.9038461538466</v>
      </c>
      <c r="AK76" s="231">
        <f>+Janvier!AM76</f>
        <v>4729.9038461538466</v>
      </c>
      <c r="AL76" s="231">
        <f>+Janvier!AN76</f>
        <v>2866.6083916083921</v>
      </c>
      <c r="AM76" s="231">
        <f>+Janvier!AO76</f>
        <v>1773.7139423076924</v>
      </c>
      <c r="AN76" s="231">
        <f>+Janvier!AP76</f>
        <v>3547.4278846153848</v>
      </c>
      <c r="AO76" s="231">
        <f>+Janvier!AQ76</f>
        <v>1773.7139423076924</v>
      </c>
      <c r="AP76" s="231">
        <f>+Janvier!AR76</f>
        <v>1773.7139423076924</v>
      </c>
      <c r="AQ76" s="231">
        <f>+Janvier!AS76</f>
        <v>3153.2692307692314</v>
      </c>
      <c r="AR76" s="16">
        <f t="shared" si="116"/>
        <v>0</v>
      </c>
      <c r="AS76" s="16">
        <f t="shared" si="117"/>
        <v>0</v>
      </c>
      <c r="AT76" s="16">
        <f t="shared" si="118"/>
        <v>0</v>
      </c>
      <c r="AU76" s="16">
        <f t="shared" si="119"/>
        <v>0</v>
      </c>
      <c r="AV76" s="16">
        <f t="shared" si="120"/>
        <v>0</v>
      </c>
      <c r="AW76" s="16">
        <f t="shared" si="121"/>
        <v>0</v>
      </c>
      <c r="AX76" s="16">
        <f t="shared" si="122"/>
        <v>0</v>
      </c>
      <c r="AY76" s="16">
        <f t="shared" si="123"/>
        <v>0</v>
      </c>
      <c r="AZ76" s="16">
        <f t="shared" si="124"/>
        <v>0</v>
      </c>
      <c r="BA76" s="17">
        <f t="shared" si="125"/>
        <v>0</v>
      </c>
    </row>
    <row r="77" spans="1:53" ht="15.6" x14ac:dyDescent="0.3">
      <c r="A77" s="203" t="s">
        <v>71</v>
      </c>
      <c r="B77" s="257"/>
      <c r="C77" s="94"/>
      <c r="D77" s="237"/>
      <c r="E77" s="96"/>
      <c r="F77" s="97"/>
      <c r="G77" s="95"/>
      <c r="H77" s="96"/>
      <c r="I77" s="97"/>
      <c r="J77" s="95"/>
      <c r="K77" s="96"/>
      <c r="L77" s="97"/>
      <c r="M77" s="95"/>
      <c r="N77" s="96"/>
      <c r="O77" s="97"/>
      <c r="P77" s="95"/>
      <c r="Q77" s="96"/>
      <c r="R77" s="97"/>
      <c r="S77" s="95"/>
      <c r="T77" s="96"/>
      <c r="U77" s="97"/>
      <c r="V77" s="95"/>
      <c r="W77" s="96"/>
      <c r="X77" s="97"/>
      <c r="Y77" s="95"/>
      <c r="Z77" s="96"/>
      <c r="AA77" s="97"/>
      <c r="AB77" s="95"/>
      <c r="AC77" s="96"/>
      <c r="AD77" s="97"/>
      <c r="AE77" s="95"/>
      <c r="AF77" s="96"/>
      <c r="AG77" s="97"/>
      <c r="AH77" s="265">
        <f>+Janvier!AJ77</f>
        <v>3524.4642857142853</v>
      </c>
      <c r="AI77" s="231">
        <f>+Janvier!AK77</f>
        <v>10965.000000000002</v>
      </c>
      <c r="AJ77" s="231">
        <f>+Janvier!AL77</f>
        <v>8223.75</v>
      </c>
      <c r="AK77" s="231">
        <f>+Janvier!AM77</f>
        <v>8223.75</v>
      </c>
      <c r="AL77" s="231">
        <f>+Janvier!AN77</f>
        <v>4984.0909090909099</v>
      </c>
      <c r="AM77" s="231">
        <f>+Janvier!AO77</f>
        <v>3083.9062500000005</v>
      </c>
      <c r="AN77" s="231">
        <f>+Janvier!AP77</f>
        <v>6167.8125000000009</v>
      </c>
      <c r="AO77" s="231">
        <f>+Janvier!AQ77</f>
        <v>3083.9062500000005</v>
      </c>
      <c r="AP77" s="231">
        <f>+Janvier!AR77</f>
        <v>3083.9062500000005</v>
      </c>
      <c r="AQ77" s="231">
        <f>+Janvier!AS77</f>
        <v>5482.5000000000009</v>
      </c>
      <c r="AR77" s="16">
        <f t="shared" si="116"/>
        <v>0</v>
      </c>
      <c r="AS77" s="16">
        <f t="shared" si="117"/>
        <v>0</v>
      </c>
      <c r="AT77" s="16">
        <f t="shared" si="118"/>
        <v>0</v>
      </c>
      <c r="AU77" s="16">
        <f t="shared" si="119"/>
        <v>0</v>
      </c>
      <c r="AV77" s="16">
        <f t="shared" si="120"/>
        <v>0</v>
      </c>
      <c r="AW77" s="16">
        <f t="shared" si="121"/>
        <v>0</v>
      </c>
      <c r="AX77" s="16">
        <f t="shared" si="122"/>
        <v>0</v>
      </c>
      <c r="AY77" s="16">
        <f t="shared" si="123"/>
        <v>0</v>
      </c>
      <c r="AZ77" s="16">
        <f t="shared" si="124"/>
        <v>0</v>
      </c>
      <c r="BA77" s="17">
        <f t="shared" si="125"/>
        <v>0</v>
      </c>
    </row>
    <row r="78" spans="1:53" ht="15.6" x14ac:dyDescent="0.3">
      <c r="A78" s="203" t="s">
        <v>72</v>
      </c>
      <c r="B78" s="257"/>
      <c r="C78" s="94"/>
      <c r="D78" s="237"/>
      <c r="E78" s="96"/>
      <c r="F78" s="97"/>
      <c r="G78" s="95"/>
      <c r="H78" s="96"/>
      <c r="I78" s="97"/>
      <c r="J78" s="95"/>
      <c r="K78" s="96"/>
      <c r="L78" s="97"/>
      <c r="M78" s="95"/>
      <c r="N78" s="96"/>
      <c r="O78" s="97"/>
      <c r="P78" s="95"/>
      <c r="Q78" s="96"/>
      <c r="R78" s="97"/>
      <c r="S78" s="95"/>
      <c r="T78" s="96"/>
      <c r="U78" s="97"/>
      <c r="V78" s="95"/>
      <c r="W78" s="96"/>
      <c r="X78" s="97"/>
      <c r="Y78" s="95"/>
      <c r="Z78" s="96"/>
      <c r="AA78" s="97"/>
      <c r="AB78" s="95"/>
      <c r="AC78" s="96"/>
      <c r="AD78" s="97"/>
      <c r="AE78" s="95"/>
      <c r="AF78" s="96"/>
      <c r="AG78" s="97"/>
      <c r="AH78" s="265">
        <f>+Janvier!AJ78</f>
        <v>304.98626373626377</v>
      </c>
      <c r="AI78" s="231">
        <f>+Janvier!AK78</f>
        <v>948.84615384615404</v>
      </c>
      <c r="AJ78" s="231">
        <f>+Janvier!AL78</f>
        <v>711.63461538461547</v>
      </c>
      <c r="AK78" s="231">
        <f>+Janvier!AM78</f>
        <v>711.63461538461547</v>
      </c>
      <c r="AL78" s="231">
        <f>+Janvier!AN78</f>
        <v>431.29370629370635</v>
      </c>
      <c r="AM78" s="231">
        <f>+Janvier!AO78</f>
        <v>266.86298076923077</v>
      </c>
      <c r="AN78" s="231">
        <f>+Janvier!AP78</f>
        <v>533.72596153846155</v>
      </c>
      <c r="AO78" s="231">
        <f>+Janvier!AQ78</f>
        <v>266.86298076923077</v>
      </c>
      <c r="AP78" s="231">
        <f>+Janvier!AR78</f>
        <v>266.86298076923077</v>
      </c>
      <c r="AQ78" s="231">
        <f>+Janvier!AS78</f>
        <v>474.42307692307702</v>
      </c>
      <c r="AR78" s="16">
        <f t="shared" si="116"/>
        <v>0</v>
      </c>
      <c r="AS78" s="16">
        <f t="shared" si="117"/>
        <v>0</v>
      </c>
      <c r="AT78" s="16">
        <f t="shared" si="118"/>
        <v>0</v>
      </c>
      <c r="AU78" s="16">
        <f t="shared" si="119"/>
        <v>0</v>
      </c>
      <c r="AV78" s="16">
        <f t="shared" si="120"/>
        <v>0</v>
      </c>
      <c r="AW78" s="16">
        <f t="shared" si="121"/>
        <v>0</v>
      </c>
      <c r="AX78" s="16">
        <f t="shared" si="122"/>
        <v>0</v>
      </c>
      <c r="AY78" s="16">
        <f t="shared" si="123"/>
        <v>0</v>
      </c>
      <c r="AZ78" s="16">
        <f t="shared" si="124"/>
        <v>0</v>
      </c>
      <c r="BA78" s="17">
        <f t="shared" si="125"/>
        <v>0</v>
      </c>
    </row>
    <row r="79" spans="1:53" ht="16.2" thickBot="1" x14ac:dyDescent="0.35">
      <c r="A79" s="203" t="s">
        <v>73</v>
      </c>
      <c r="B79" s="270"/>
      <c r="C79" s="255"/>
      <c r="D79" s="269"/>
      <c r="E79" s="109"/>
      <c r="F79" s="110"/>
      <c r="G79" s="111"/>
      <c r="H79" s="109"/>
      <c r="I79" s="110"/>
      <c r="J79" s="111"/>
      <c r="K79" s="109"/>
      <c r="L79" s="110"/>
      <c r="M79" s="111"/>
      <c r="N79" s="109"/>
      <c r="O79" s="110"/>
      <c r="P79" s="111"/>
      <c r="Q79" s="109"/>
      <c r="R79" s="110"/>
      <c r="S79" s="111"/>
      <c r="T79" s="109"/>
      <c r="U79" s="110"/>
      <c r="V79" s="111"/>
      <c r="W79" s="109"/>
      <c r="X79" s="110"/>
      <c r="Y79" s="111"/>
      <c r="Z79" s="109"/>
      <c r="AA79" s="110"/>
      <c r="AB79" s="111"/>
      <c r="AC79" s="109"/>
      <c r="AD79" s="110"/>
      <c r="AE79" s="111"/>
      <c r="AF79" s="109"/>
      <c r="AG79" s="110"/>
      <c r="AH79" s="265">
        <f>+Janvier!AJ79</f>
        <v>2652.2802197802202</v>
      </c>
      <c r="AI79" s="231">
        <f>+Janvier!AK79</f>
        <v>8251.5384615384628</v>
      </c>
      <c r="AJ79" s="231">
        <f>+Janvier!AL79</f>
        <v>6188.6538461538466</v>
      </c>
      <c r="AK79" s="231">
        <f>+Janvier!AM79</f>
        <v>6188.6538461538466</v>
      </c>
      <c r="AL79" s="231">
        <f>+Janvier!AN79</f>
        <v>3750.6993006993016</v>
      </c>
      <c r="AM79" s="231">
        <f>+Janvier!AO79</f>
        <v>2320.7451923076924</v>
      </c>
      <c r="AN79" s="231">
        <f>+Janvier!AP79</f>
        <v>4641.4903846153848</v>
      </c>
      <c r="AO79" s="231">
        <f>+Janvier!AQ79</f>
        <v>2320.7451923076924</v>
      </c>
      <c r="AP79" s="231">
        <f>+Janvier!AR79</f>
        <v>2320.7451923076924</v>
      </c>
      <c r="AQ79" s="231">
        <f>+Janvier!AS79</f>
        <v>4125.7692307692314</v>
      </c>
      <c r="AR79" s="32">
        <f t="shared" si="116"/>
        <v>0</v>
      </c>
      <c r="AS79" s="32">
        <f t="shared" si="117"/>
        <v>0</v>
      </c>
      <c r="AT79" s="32">
        <f t="shared" si="118"/>
        <v>0</v>
      </c>
      <c r="AU79" s="32">
        <f t="shared" si="119"/>
        <v>0</v>
      </c>
      <c r="AV79" s="32">
        <f t="shared" si="120"/>
        <v>0</v>
      </c>
      <c r="AW79" s="32">
        <f t="shared" si="121"/>
        <v>0</v>
      </c>
      <c r="AX79" s="32">
        <f t="shared" si="122"/>
        <v>0</v>
      </c>
      <c r="AY79" s="32">
        <f t="shared" si="123"/>
        <v>0</v>
      </c>
      <c r="AZ79" s="32">
        <f t="shared" si="124"/>
        <v>0</v>
      </c>
      <c r="BA79" s="33">
        <f t="shared" si="125"/>
        <v>0</v>
      </c>
    </row>
    <row r="80" spans="1:53" ht="15.6" x14ac:dyDescent="0.3">
      <c r="A80" s="202" t="s">
        <v>90</v>
      </c>
      <c r="B80" s="256"/>
      <c r="C80" s="160"/>
      <c r="D80" s="113"/>
      <c r="E80" s="114"/>
      <c r="F80" s="115"/>
      <c r="G80" s="113"/>
      <c r="H80" s="114"/>
      <c r="I80" s="115"/>
      <c r="J80" s="113"/>
      <c r="K80" s="114"/>
      <c r="L80" s="115"/>
      <c r="M80" s="113"/>
      <c r="N80" s="114"/>
      <c r="O80" s="115"/>
      <c r="P80" s="113"/>
      <c r="Q80" s="114"/>
      <c r="R80" s="115"/>
      <c r="S80" s="113"/>
      <c r="T80" s="114"/>
      <c r="U80" s="115"/>
      <c r="V80" s="113"/>
      <c r="W80" s="114"/>
      <c r="X80" s="115"/>
      <c r="Y80" s="113"/>
      <c r="Z80" s="114"/>
      <c r="AA80" s="115"/>
      <c r="AB80" s="113"/>
      <c r="AC80" s="114"/>
      <c r="AD80" s="115"/>
      <c r="AE80" s="113"/>
      <c r="AF80" s="114"/>
      <c r="AG80" s="115"/>
      <c r="AH80" s="231">
        <f>+Janvier!AJ80</f>
        <v>17212.634999999998</v>
      </c>
      <c r="AI80" s="231">
        <f>+Janvier!AK80</f>
        <v>59198.798076923078</v>
      </c>
      <c r="AJ80" s="231">
        <f>+Janvier!AL80</f>
        <v>39426.39951923077</v>
      </c>
      <c r="AK80" s="231">
        <f>+Janvier!AM80</f>
        <v>39426.39951923077</v>
      </c>
      <c r="AL80" s="231">
        <f>+Janvier!AN80</f>
        <v>24863.495192307691</v>
      </c>
      <c r="AM80" s="231">
        <f>+Janvier!AO80</f>
        <v>14799.69951923077</v>
      </c>
      <c r="AN80" s="231">
        <f>+Janvier!AP80</f>
        <v>29599.399038461539</v>
      </c>
      <c r="AO80" s="231">
        <f>+Janvier!AQ80</f>
        <v>14799.69951923077</v>
      </c>
      <c r="AP80" s="231">
        <f>+Janvier!AR80</f>
        <v>14799.69951923077</v>
      </c>
      <c r="AQ80" s="231">
        <f>+Janvier!AS80</f>
        <v>26721.713076923079</v>
      </c>
      <c r="AR80" s="16">
        <f>ROUND(E80/(AH80/15),0)</f>
        <v>0</v>
      </c>
      <c r="AS80" s="16">
        <f t="shared" ref="AS80" si="126">ROUND(H80/(AI80/15),0)</f>
        <v>0</v>
      </c>
      <c r="AT80" s="16">
        <f t="shared" ref="AT80" si="127">ROUND(K80/(AJ80/15),0)</f>
        <v>0</v>
      </c>
      <c r="AU80" s="16">
        <f t="shared" ref="AU80" si="128">ROUND(N80/(AK80/15),0)</f>
        <v>0</v>
      </c>
      <c r="AV80" s="16">
        <f t="shared" ref="AV80" si="129">ROUND(Q80/(AL80/15),0)</f>
        <v>0</v>
      </c>
      <c r="AW80" s="16">
        <f t="shared" ref="AW80" si="130">ROUND(T80/(AM80/15),0)</f>
        <v>0</v>
      </c>
      <c r="AX80" s="16">
        <f t="shared" ref="AX80" si="131">ROUND(W80/(AN80/15),0)</f>
        <v>0</v>
      </c>
      <c r="AY80" s="16">
        <f t="shared" ref="AY80" si="132">ROUND(Z80/(AO80/15),0)</f>
        <v>0</v>
      </c>
      <c r="AZ80" s="16">
        <f t="shared" ref="AZ80" si="133">ROUND(AC80/(AP80/15),0)</f>
        <v>0</v>
      </c>
      <c r="BA80" s="17">
        <f t="shared" ref="BA80" si="134">ROUND(AF80/(AQ80/15),0)</f>
        <v>0</v>
      </c>
    </row>
    <row r="81" spans="1:53" ht="15.6" x14ac:dyDescent="0.3">
      <c r="A81" s="199" t="s">
        <v>74</v>
      </c>
      <c r="B81" s="257"/>
      <c r="C81" s="94"/>
      <c r="D81" s="116"/>
      <c r="E81" s="106"/>
      <c r="F81" s="117"/>
      <c r="G81" s="116"/>
      <c r="H81" s="106"/>
      <c r="I81" s="117"/>
      <c r="J81" s="116"/>
      <c r="K81" s="106"/>
      <c r="L81" s="117"/>
      <c r="M81" s="116"/>
      <c r="N81" s="106"/>
      <c r="O81" s="117"/>
      <c r="P81" s="116"/>
      <c r="Q81" s="106"/>
      <c r="R81" s="117"/>
      <c r="S81" s="116"/>
      <c r="T81" s="106"/>
      <c r="U81" s="117"/>
      <c r="V81" s="116"/>
      <c r="W81" s="106"/>
      <c r="X81" s="117"/>
      <c r="Y81" s="116"/>
      <c r="Z81" s="106"/>
      <c r="AA81" s="117"/>
      <c r="AB81" s="116"/>
      <c r="AC81" s="106"/>
      <c r="AD81" s="117"/>
      <c r="AE81" s="116"/>
      <c r="AF81" s="106"/>
      <c r="AG81" s="117"/>
      <c r="AH81" s="231">
        <f>+Janvier!AJ81</f>
        <v>1153.1868131868132</v>
      </c>
      <c r="AI81" s="231">
        <f>+Janvier!AK81</f>
        <v>3587.6923076923085</v>
      </c>
      <c r="AJ81" s="231">
        <f>+Janvier!AL81</f>
        <v>2690.7692307692309</v>
      </c>
      <c r="AK81" s="231">
        <f>+Janvier!AM81</f>
        <v>2690.7692307692309</v>
      </c>
      <c r="AL81" s="231">
        <f>+Janvier!AN81</f>
        <v>1630.7692307692312</v>
      </c>
      <c r="AM81" s="231">
        <f>+Janvier!AO81</f>
        <v>1009.0384615384617</v>
      </c>
      <c r="AN81" s="231">
        <f>+Janvier!AP81</f>
        <v>2018.0769230769233</v>
      </c>
      <c r="AO81" s="231">
        <f>+Janvier!AQ81</f>
        <v>1009.0384615384617</v>
      </c>
      <c r="AP81" s="231">
        <f>+Janvier!AR81</f>
        <v>1009.0384615384617</v>
      </c>
      <c r="AQ81" s="231">
        <f>+Janvier!AS81</f>
        <v>1793.8461538461543</v>
      </c>
      <c r="AR81" s="16">
        <f>ROUND(E81/(AH81/5),0)</f>
        <v>0</v>
      </c>
      <c r="AS81" s="16">
        <f t="shared" ref="AS81:AS85" si="135">ROUND(H81/(AI81/5),0)</f>
        <v>0</v>
      </c>
      <c r="AT81" s="16">
        <f t="shared" ref="AT81:AT85" si="136">ROUND(K81/(AJ81/5),0)</f>
        <v>0</v>
      </c>
      <c r="AU81" s="16">
        <f t="shared" ref="AU81:AU85" si="137">ROUND(N81/(AK81/5),0)</f>
        <v>0</v>
      </c>
      <c r="AV81" s="16">
        <f t="shared" ref="AV81:AV85" si="138">ROUND(Q81/(AL81/5),0)</f>
        <v>0</v>
      </c>
      <c r="AW81" s="16">
        <f t="shared" ref="AW81:AW85" si="139">ROUND(T81/(AM81/5),0)</f>
        <v>0</v>
      </c>
      <c r="AX81" s="16">
        <f t="shared" ref="AX81:AX85" si="140">ROUND(W81/(AN81/5),0)</f>
        <v>0</v>
      </c>
      <c r="AY81" s="16">
        <f t="shared" ref="AY81:AY85" si="141">ROUND(Z81/(AO81/5),0)</f>
        <v>0</v>
      </c>
      <c r="AZ81" s="16">
        <f t="shared" ref="AZ81:AZ85" si="142">ROUND(AC81/(AP81/5),0)</f>
        <v>0</v>
      </c>
      <c r="BA81" s="17">
        <f t="shared" ref="BA81:BA85" si="143">ROUND(AF81/(AQ81/5),0)</f>
        <v>0</v>
      </c>
    </row>
    <row r="82" spans="1:53" ht="15.6" x14ac:dyDescent="0.3">
      <c r="A82" s="199" t="s">
        <v>75</v>
      </c>
      <c r="B82" s="257"/>
      <c r="C82" s="94"/>
      <c r="D82" s="95"/>
      <c r="E82" s="96"/>
      <c r="F82" s="97"/>
      <c r="G82" s="95"/>
      <c r="H82" s="96"/>
      <c r="I82" s="97"/>
      <c r="J82" s="95"/>
      <c r="K82" s="96"/>
      <c r="L82" s="97"/>
      <c r="M82" s="95"/>
      <c r="N82" s="96"/>
      <c r="O82" s="97"/>
      <c r="P82" s="95"/>
      <c r="Q82" s="96"/>
      <c r="R82" s="97"/>
      <c r="S82" s="95"/>
      <c r="T82" s="96"/>
      <c r="U82" s="97"/>
      <c r="V82" s="95"/>
      <c r="W82" s="96"/>
      <c r="X82" s="97"/>
      <c r="Y82" s="95"/>
      <c r="Z82" s="96"/>
      <c r="AA82" s="97"/>
      <c r="AB82" s="95"/>
      <c r="AC82" s="96"/>
      <c r="AD82" s="97"/>
      <c r="AE82" s="95"/>
      <c r="AF82" s="96"/>
      <c r="AG82" s="97"/>
      <c r="AH82" s="231">
        <f>+Janvier!AJ82</f>
        <v>1355.5631868131868</v>
      </c>
      <c r="AI82" s="231">
        <f>+Janvier!AK82</f>
        <v>4217.3076923076924</v>
      </c>
      <c r="AJ82" s="231">
        <f>+Janvier!AL82</f>
        <v>3162.9807692307691</v>
      </c>
      <c r="AK82" s="231">
        <f>+Janvier!AM82</f>
        <v>3162.9807692307691</v>
      </c>
      <c r="AL82" s="231">
        <f>+Janvier!AN82</f>
        <v>1916.9580419580418</v>
      </c>
      <c r="AM82" s="231">
        <f>+Janvier!AO82</f>
        <v>1186.1177884615383</v>
      </c>
      <c r="AN82" s="231">
        <f>+Janvier!AP82</f>
        <v>2372.2355769230767</v>
      </c>
      <c r="AO82" s="231">
        <f>+Janvier!AQ82</f>
        <v>1186.1177884615383</v>
      </c>
      <c r="AP82" s="231">
        <f>+Janvier!AR82</f>
        <v>1186.1177884615383</v>
      </c>
      <c r="AQ82" s="231">
        <f>+Janvier!AS82</f>
        <v>2108.6538461538462</v>
      </c>
      <c r="AR82" s="16">
        <f>ROUND(E82/(AH82/5),0)</f>
        <v>0</v>
      </c>
      <c r="AS82" s="16">
        <f t="shared" si="135"/>
        <v>0</v>
      </c>
      <c r="AT82" s="16">
        <f t="shared" si="136"/>
        <v>0</v>
      </c>
      <c r="AU82" s="16">
        <f t="shared" si="137"/>
        <v>0</v>
      </c>
      <c r="AV82" s="16">
        <f t="shared" si="138"/>
        <v>0</v>
      </c>
      <c r="AW82" s="16">
        <f t="shared" si="139"/>
        <v>0</v>
      </c>
      <c r="AX82" s="16">
        <f t="shared" si="140"/>
        <v>0</v>
      </c>
      <c r="AY82" s="16">
        <f t="shared" si="141"/>
        <v>0</v>
      </c>
      <c r="AZ82" s="16">
        <f t="shared" si="142"/>
        <v>0</v>
      </c>
      <c r="BA82" s="17">
        <f t="shared" si="143"/>
        <v>0</v>
      </c>
    </row>
    <row r="83" spans="1:53" ht="15.6" x14ac:dyDescent="0.3">
      <c r="A83" s="199" t="s">
        <v>76</v>
      </c>
      <c r="B83" s="257"/>
      <c r="C83" s="94"/>
      <c r="D83" s="95"/>
      <c r="E83" s="96"/>
      <c r="F83" s="97"/>
      <c r="G83" s="95"/>
      <c r="H83" s="96"/>
      <c r="I83" s="97"/>
      <c r="J83" s="95"/>
      <c r="K83" s="96"/>
      <c r="L83" s="97"/>
      <c r="M83" s="95"/>
      <c r="N83" s="96"/>
      <c r="O83" s="97"/>
      <c r="P83" s="95"/>
      <c r="Q83" s="96"/>
      <c r="R83" s="97"/>
      <c r="S83" s="95"/>
      <c r="T83" s="96"/>
      <c r="U83" s="97"/>
      <c r="V83" s="95"/>
      <c r="W83" s="96"/>
      <c r="X83" s="97"/>
      <c r="Y83" s="95"/>
      <c r="Z83" s="96"/>
      <c r="AA83" s="97"/>
      <c r="AB83" s="95"/>
      <c r="AC83" s="96"/>
      <c r="AD83" s="97"/>
      <c r="AE83" s="95"/>
      <c r="AF83" s="96"/>
      <c r="AG83" s="97"/>
      <c r="AH83" s="231">
        <f>+Janvier!AJ83</f>
        <v>895.92032967032981</v>
      </c>
      <c r="AI83" s="231">
        <f>+Janvier!AK83</f>
        <v>2787.3076923076928</v>
      </c>
      <c r="AJ83" s="231">
        <f>+Janvier!AL83</f>
        <v>2090.4807692307695</v>
      </c>
      <c r="AK83" s="231">
        <f>+Janvier!AM83</f>
        <v>2090.4807692307695</v>
      </c>
      <c r="AL83" s="231">
        <f>+Janvier!AN83</f>
        <v>1266.958041958042</v>
      </c>
      <c r="AM83" s="231">
        <f>+Janvier!AO83</f>
        <v>783.93028846153834</v>
      </c>
      <c r="AN83" s="231">
        <f>+Janvier!AP83</f>
        <v>1567.8605769230767</v>
      </c>
      <c r="AO83" s="231">
        <f>+Janvier!AQ83</f>
        <v>783.93028846153834</v>
      </c>
      <c r="AP83" s="231">
        <f>+Janvier!AR83</f>
        <v>783.93028846153834</v>
      </c>
      <c r="AQ83" s="231">
        <f>+Janvier!AS83</f>
        <v>1393.6538461538464</v>
      </c>
      <c r="AR83" s="16">
        <f>ROUND(E83/(AH83/5),0)</f>
        <v>0</v>
      </c>
      <c r="AS83" s="16">
        <f t="shared" si="135"/>
        <v>0</v>
      </c>
      <c r="AT83" s="16">
        <f t="shared" si="136"/>
        <v>0</v>
      </c>
      <c r="AU83" s="16">
        <f t="shared" si="137"/>
        <v>0</v>
      </c>
      <c r="AV83" s="16">
        <f t="shared" si="138"/>
        <v>0</v>
      </c>
      <c r="AW83" s="16">
        <f t="shared" si="139"/>
        <v>0</v>
      </c>
      <c r="AX83" s="16">
        <f t="shared" si="140"/>
        <v>0</v>
      </c>
      <c r="AY83" s="16">
        <f t="shared" si="141"/>
        <v>0</v>
      </c>
      <c r="AZ83" s="16">
        <f t="shared" si="142"/>
        <v>0</v>
      </c>
      <c r="BA83" s="17">
        <f t="shared" si="143"/>
        <v>0</v>
      </c>
    </row>
    <row r="84" spans="1:53" ht="15.6" x14ac:dyDescent="0.3">
      <c r="A84" s="199" t="s">
        <v>77</v>
      </c>
      <c r="B84" s="257"/>
      <c r="C84" s="94"/>
      <c r="D84" s="95"/>
      <c r="E84" s="96"/>
      <c r="F84" s="97"/>
      <c r="G84" s="95"/>
      <c r="H84" s="96"/>
      <c r="I84" s="97"/>
      <c r="J84" s="95"/>
      <c r="K84" s="96"/>
      <c r="L84" s="97"/>
      <c r="M84" s="95"/>
      <c r="N84" s="96"/>
      <c r="O84" s="97"/>
      <c r="P84" s="95"/>
      <c r="Q84" s="96"/>
      <c r="R84" s="97"/>
      <c r="S84" s="95"/>
      <c r="T84" s="96"/>
      <c r="U84" s="97"/>
      <c r="V84" s="95"/>
      <c r="W84" s="96"/>
      <c r="X84" s="97"/>
      <c r="Y84" s="95"/>
      <c r="Z84" s="96"/>
      <c r="AA84" s="97"/>
      <c r="AB84" s="95"/>
      <c r="AC84" s="96"/>
      <c r="AD84" s="97"/>
      <c r="AE84" s="95"/>
      <c r="AF84" s="96"/>
      <c r="AG84" s="97"/>
      <c r="AH84" s="231">
        <f>+Janvier!AJ84</f>
        <v>1507.1291208791208</v>
      </c>
      <c r="AI84" s="231">
        <f>+Janvier!AK84</f>
        <v>4688.8461538461534</v>
      </c>
      <c r="AJ84" s="231">
        <f>+Janvier!AL84</f>
        <v>3516.6346153846152</v>
      </c>
      <c r="AK84" s="231">
        <f>+Janvier!AM84</f>
        <v>3516.6346153846152</v>
      </c>
      <c r="AL84" s="231">
        <f>+Janvier!AN84</f>
        <v>2131.2937062937062</v>
      </c>
      <c r="AM84" s="231">
        <f>+Janvier!AO84</f>
        <v>1318.7379807692307</v>
      </c>
      <c r="AN84" s="231">
        <f>+Janvier!AP84</f>
        <v>2637.4759615384614</v>
      </c>
      <c r="AO84" s="231">
        <f>+Janvier!AQ84</f>
        <v>1318.7379807692307</v>
      </c>
      <c r="AP84" s="231">
        <f>+Janvier!AR84</f>
        <v>1318.7379807692307</v>
      </c>
      <c r="AQ84" s="231">
        <f>+Janvier!AS84</f>
        <v>2344.4230769230767</v>
      </c>
      <c r="AR84" s="16">
        <f>ROUND(E84/(AH84/5),0)</f>
        <v>0</v>
      </c>
      <c r="AS84" s="16">
        <f t="shared" si="135"/>
        <v>0</v>
      </c>
      <c r="AT84" s="16">
        <f t="shared" si="136"/>
        <v>0</v>
      </c>
      <c r="AU84" s="16">
        <f t="shared" si="137"/>
        <v>0</v>
      </c>
      <c r="AV84" s="16">
        <f t="shared" si="138"/>
        <v>0</v>
      </c>
      <c r="AW84" s="16">
        <f t="shared" si="139"/>
        <v>0</v>
      </c>
      <c r="AX84" s="16">
        <f t="shared" si="140"/>
        <v>0</v>
      </c>
      <c r="AY84" s="16">
        <f t="shared" si="141"/>
        <v>0</v>
      </c>
      <c r="AZ84" s="16">
        <f t="shared" si="142"/>
        <v>0</v>
      </c>
      <c r="BA84" s="17">
        <f t="shared" si="143"/>
        <v>0</v>
      </c>
    </row>
    <row r="85" spans="1:53" ht="15" thickBot="1" x14ac:dyDescent="0.35">
      <c r="A85" s="121" t="s">
        <v>78</v>
      </c>
      <c r="B85" s="258"/>
      <c r="C85" s="143"/>
      <c r="D85" s="111"/>
      <c r="E85" s="109"/>
      <c r="F85" s="110"/>
      <c r="G85" s="111"/>
      <c r="H85" s="109"/>
      <c r="I85" s="110"/>
      <c r="J85" s="111"/>
      <c r="K85" s="109"/>
      <c r="L85" s="110"/>
      <c r="M85" s="111"/>
      <c r="N85" s="109"/>
      <c r="O85" s="110"/>
      <c r="P85" s="111"/>
      <c r="Q85" s="109"/>
      <c r="R85" s="110"/>
      <c r="S85" s="111"/>
      <c r="T85" s="109"/>
      <c r="U85" s="110"/>
      <c r="V85" s="111"/>
      <c r="W85" s="109"/>
      <c r="X85" s="110"/>
      <c r="Y85" s="111"/>
      <c r="Z85" s="109"/>
      <c r="AA85" s="110"/>
      <c r="AB85" s="111"/>
      <c r="AC85" s="109"/>
      <c r="AD85" s="110"/>
      <c r="AE85" s="111"/>
      <c r="AF85" s="109"/>
      <c r="AG85" s="110"/>
      <c r="AH85" s="231">
        <f>+Janvier!AJ85</f>
        <v>726.18131868131866</v>
      </c>
      <c r="AI85" s="231">
        <f>+Janvier!AK85</f>
        <v>2259.2307692307695</v>
      </c>
      <c r="AJ85" s="231">
        <f>+Janvier!AL85</f>
        <v>1694.4230769230774</v>
      </c>
      <c r="AK85" s="231">
        <f>+Janvier!AM85</f>
        <v>1694.4230769230774</v>
      </c>
      <c r="AL85" s="231">
        <f>+Janvier!AN85</f>
        <v>1026.9230769230771</v>
      </c>
      <c r="AM85" s="231">
        <f>+Janvier!AO85</f>
        <v>635.40865384615381</v>
      </c>
      <c r="AN85" s="231">
        <f>+Janvier!AP85</f>
        <v>1270.8173076923076</v>
      </c>
      <c r="AO85" s="231">
        <f>+Janvier!AQ85</f>
        <v>635.40865384615381</v>
      </c>
      <c r="AP85" s="231">
        <f>+Janvier!AR85</f>
        <v>635.40865384615381</v>
      </c>
      <c r="AQ85" s="231">
        <f>+Janvier!AS85</f>
        <v>1129.6153846153848</v>
      </c>
      <c r="AR85" s="16">
        <f>ROUND(E85/(AH85/5),0)</f>
        <v>0</v>
      </c>
      <c r="AS85" s="16">
        <f t="shared" si="135"/>
        <v>0</v>
      </c>
      <c r="AT85" s="16">
        <f t="shared" si="136"/>
        <v>0</v>
      </c>
      <c r="AU85" s="16">
        <f t="shared" si="137"/>
        <v>0</v>
      </c>
      <c r="AV85" s="16">
        <f t="shared" si="138"/>
        <v>0</v>
      </c>
      <c r="AW85" s="16">
        <f t="shared" si="139"/>
        <v>0</v>
      </c>
      <c r="AX85" s="16">
        <f t="shared" si="140"/>
        <v>0</v>
      </c>
      <c r="AY85" s="16">
        <f t="shared" si="141"/>
        <v>0</v>
      </c>
      <c r="AZ85" s="16">
        <f t="shared" si="142"/>
        <v>0</v>
      </c>
      <c r="BA85" s="17">
        <f t="shared" si="143"/>
        <v>0</v>
      </c>
    </row>
    <row r="86" spans="1:53" x14ac:dyDescent="0.3">
      <c r="B86" s="192"/>
      <c r="C86" s="3"/>
      <c r="D86" s="3"/>
      <c r="E86" s="192"/>
      <c r="F86" s="192"/>
      <c r="G86" s="192"/>
      <c r="H86" s="192"/>
      <c r="I86" s="192"/>
      <c r="J86" s="192"/>
      <c r="K86" s="192"/>
      <c r="L86" s="192"/>
      <c r="M86" s="192"/>
      <c r="N86" s="192"/>
      <c r="O86" s="192"/>
      <c r="P86" s="192"/>
      <c r="Q86" s="192"/>
      <c r="R86" s="192"/>
      <c r="S86" s="192"/>
      <c r="T86" s="192"/>
      <c r="U86" s="192"/>
      <c r="V86" s="192"/>
      <c r="W86" s="192"/>
      <c r="X86" s="192"/>
      <c r="Y86" s="192"/>
      <c r="Z86" s="192"/>
      <c r="AA86" s="192"/>
      <c r="AB86" s="192"/>
      <c r="AC86" s="192"/>
      <c r="AD86" s="192"/>
      <c r="AE86" s="192"/>
      <c r="AF86" s="192"/>
      <c r="AG86" s="192"/>
      <c r="AR86" s="183" t="s">
        <v>2</v>
      </c>
      <c r="AS86" s="183" t="s">
        <v>80</v>
      </c>
      <c r="AT86" s="183" t="s">
        <v>81</v>
      </c>
      <c r="AU86" s="183" t="s">
        <v>5</v>
      </c>
      <c r="AV86" s="183" t="s">
        <v>82</v>
      </c>
      <c r="AW86" s="183" t="s">
        <v>7</v>
      </c>
      <c r="AX86" s="183" t="s">
        <v>8</v>
      </c>
      <c r="AY86" s="183" t="s">
        <v>9</v>
      </c>
      <c r="AZ86" s="183" t="s">
        <v>10</v>
      </c>
      <c r="BA86" s="183" t="s">
        <v>11</v>
      </c>
    </row>
    <row r="87" spans="1:53" x14ac:dyDescent="0.3">
      <c r="B87" s="192"/>
      <c r="C87" s="3"/>
      <c r="D87" s="3"/>
      <c r="E87" s="192"/>
      <c r="F87" s="192"/>
      <c r="G87" s="192"/>
      <c r="H87" s="192"/>
      <c r="I87" s="192"/>
      <c r="J87" s="192"/>
      <c r="K87" s="192"/>
      <c r="L87" s="192"/>
      <c r="M87" s="192"/>
      <c r="N87" s="192"/>
      <c r="O87" s="192"/>
      <c r="P87" s="192"/>
      <c r="Q87" s="192"/>
      <c r="R87" s="192"/>
      <c r="S87" s="192"/>
      <c r="T87" s="192"/>
      <c r="U87" s="192"/>
      <c r="V87" s="192"/>
      <c r="W87" s="192"/>
      <c r="X87" s="192"/>
      <c r="Y87" s="192"/>
      <c r="Z87" s="192"/>
      <c r="AA87" s="192"/>
      <c r="AB87" s="192"/>
      <c r="AC87" s="192"/>
      <c r="AD87" s="192"/>
      <c r="AE87" s="192"/>
      <c r="AF87" s="192"/>
      <c r="AG87" s="192"/>
    </row>
  </sheetData>
  <mergeCells count="16">
    <mergeCell ref="D3:AF3"/>
    <mergeCell ref="AE4:AG4"/>
    <mergeCell ref="A1:AF1"/>
    <mergeCell ref="AH3:AQ3"/>
    <mergeCell ref="AR3:BA3"/>
    <mergeCell ref="A4:A5"/>
    <mergeCell ref="B4:C4"/>
    <mergeCell ref="D4:F4"/>
    <mergeCell ref="G4:I4"/>
    <mergeCell ref="J4:L4"/>
    <mergeCell ref="M4:O4"/>
    <mergeCell ref="P4:R4"/>
    <mergeCell ref="S4:U4"/>
    <mergeCell ref="V4:X4"/>
    <mergeCell ref="Y4:AA4"/>
    <mergeCell ref="AB4:AD4"/>
  </mergeCells>
  <conditionalFormatting sqref="AR6:BA6 AR14:BA14 AR21:BA21 AR30:BA30 AR40:BA40 AR54:BA54 AR68:BA68 AR80:BA80">
    <cfRule type="cellIs" dxfId="47" priority="5" operator="lessThanOrEqual">
      <formula>3</formula>
    </cfRule>
    <cfRule type="cellIs" dxfId="46" priority="6" operator="between">
      <formula>3.01</formula>
      <formula>5</formula>
    </cfRule>
    <cfRule type="cellIs" dxfId="45" priority="7" operator="between">
      <formula>5.01</formula>
      <formula>15</formula>
    </cfRule>
    <cfRule type="cellIs" dxfId="44" priority="8" operator="greaterThan">
      <formula>15</formula>
    </cfRule>
  </conditionalFormatting>
  <conditionalFormatting sqref="AR7:BA13 AR15:BA20 AR22:BA29 AR31:BA39 AR41:BA53 AR55:BA67 AR69:BA79 AR81:BA85">
    <cfRule type="cellIs" dxfId="43" priority="1" operator="lessThanOrEqual">
      <formula>1</formula>
    </cfRule>
    <cfRule type="cellIs" dxfId="42" priority="2" operator="between">
      <formula>1.01</formula>
      <formula>2</formula>
    </cfRule>
    <cfRule type="cellIs" dxfId="41" priority="3" operator="between">
      <formula>2.01</formula>
      <formula>5</formula>
    </cfRule>
    <cfRule type="cellIs" dxfId="40" priority="4" operator="greaterThan">
      <formula>5</formula>
    </cfRule>
  </conditionalFormatting>
  <dataValidations count="1">
    <dataValidation type="decimal" allowBlank="1" showInputMessage="1" showErrorMessage="1" promptTitle="Coverage:" prompt="Indicate the targeted immunization coverage for the current year." sqref="AH5:AQ5" xr:uid="{00000000-0002-0000-0900-000000000000}">
      <formula1>0</formula1>
      <formula2>1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A87"/>
  <sheetViews>
    <sheetView zoomScale="92" zoomScaleNormal="92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I13" sqref="I13"/>
    </sheetView>
  </sheetViews>
  <sheetFormatPr defaultColWidth="11.5546875" defaultRowHeight="14.4" x14ac:dyDescent="0.3"/>
  <cols>
    <col min="1" max="1" width="19.5546875" style="183" bestFit="1" customWidth="1"/>
    <col min="2" max="2" width="13.5546875" style="183" customWidth="1"/>
    <col min="3" max="3" width="16.5546875" style="183" customWidth="1"/>
    <col min="4" max="4" width="11.109375" style="183" customWidth="1"/>
    <col min="5" max="5" width="12.33203125" style="183" customWidth="1"/>
    <col min="6" max="7" width="12.5546875" style="183" customWidth="1"/>
    <col min="8" max="8" width="14.109375" style="183" customWidth="1"/>
    <col min="9" max="9" width="12.5546875" style="183" customWidth="1"/>
    <col min="10" max="10" width="13.88671875" style="183" customWidth="1"/>
    <col min="11" max="11" width="16" style="183" customWidth="1"/>
    <col min="12" max="12" width="9.88671875" style="183" customWidth="1"/>
    <col min="13" max="13" width="11.6640625" style="183" customWidth="1"/>
    <col min="14" max="14" width="8.44140625" style="183" customWidth="1"/>
    <col min="15" max="15" width="11.88671875" style="183" customWidth="1"/>
    <col min="16" max="16" width="10.33203125" style="183" customWidth="1"/>
    <col min="17" max="17" width="8.44140625" style="183" customWidth="1"/>
    <col min="18" max="18" width="13.44140625" style="183" customWidth="1"/>
    <col min="19" max="19" width="10.44140625" style="183" customWidth="1"/>
    <col min="20" max="20" width="7.44140625" style="183" customWidth="1"/>
    <col min="21" max="21" width="13.44140625" style="183" customWidth="1"/>
    <col min="22" max="22" width="9.5546875" style="183" customWidth="1"/>
    <col min="23" max="23" width="8.44140625" style="183" customWidth="1"/>
    <col min="24" max="24" width="12.6640625" style="183" customWidth="1"/>
    <col min="25" max="25" width="9.5546875" style="183" customWidth="1"/>
    <col min="26" max="26" width="9.44140625" style="183" customWidth="1"/>
    <col min="27" max="27" width="10" style="183" customWidth="1"/>
    <col min="28" max="28" width="9.6640625" style="183" customWidth="1"/>
    <col min="29" max="29" width="10.6640625" style="183" customWidth="1"/>
    <col min="30" max="30" width="12.33203125" style="183" customWidth="1"/>
    <col min="31" max="31" width="10" style="183" customWidth="1"/>
    <col min="32" max="32" width="10.33203125" style="183" customWidth="1"/>
    <col min="33" max="33" width="14" style="183" customWidth="1"/>
    <col min="34" max="43" width="11.6640625" style="183" customWidth="1"/>
    <col min="44" max="53" width="15.109375" style="183" customWidth="1"/>
    <col min="54" max="16384" width="11.5546875" style="183"/>
  </cols>
  <sheetData>
    <row r="1" spans="1:53" ht="18" x14ac:dyDescent="0.35">
      <c r="A1" s="414" t="s">
        <v>0</v>
      </c>
      <c r="B1" s="414"/>
      <c r="C1" s="414"/>
      <c r="D1" s="414"/>
      <c r="E1" s="414"/>
      <c r="F1" s="414"/>
      <c r="G1" s="414"/>
      <c r="H1" s="414"/>
      <c r="I1" s="414"/>
      <c r="J1" s="414"/>
      <c r="K1" s="414"/>
      <c r="L1" s="414"/>
      <c r="M1" s="414"/>
      <c r="N1" s="414"/>
      <c r="O1" s="414"/>
      <c r="P1" s="414"/>
      <c r="Q1" s="414"/>
      <c r="R1" s="414"/>
      <c r="S1" s="414"/>
      <c r="T1" s="414"/>
      <c r="U1" s="414"/>
      <c r="V1" s="414"/>
      <c r="W1" s="414"/>
      <c r="X1" s="414"/>
      <c r="Y1" s="414"/>
      <c r="Z1" s="414"/>
      <c r="AA1" s="414"/>
      <c r="AB1" s="414"/>
      <c r="AC1" s="414"/>
      <c r="AD1" s="414"/>
      <c r="AE1" s="414"/>
      <c r="AF1" s="414"/>
      <c r="AG1" s="195"/>
    </row>
    <row r="2" spans="1:53" ht="18" x14ac:dyDescent="0.35">
      <c r="A2" s="195"/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5"/>
      <c r="Y2" s="195"/>
      <c r="Z2" s="195"/>
      <c r="AA2" s="195"/>
      <c r="AB2" s="195"/>
      <c r="AC2" s="195"/>
      <c r="AD2" s="195"/>
      <c r="AE2" s="195"/>
      <c r="AF2" s="9"/>
      <c r="AG2" s="9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0"/>
    </row>
    <row r="3" spans="1:53" ht="16.2" thickBot="1" x14ac:dyDescent="0.35">
      <c r="D3" s="413" t="s">
        <v>98</v>
      </c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  <c r="R3" s="413"/>
      <c r="S3" s="413"/>
      <c r="T3" s="413"/>
      <c r="U3" s="413"/>
      <c r="V3" s="413"/>
      <c r="W3" s="413"/>
      <c r="X3" s="413"/>
      <c r="Y3" s="413"/>
      <c r="Z3" s="413"/>
      <c r="AA3" s="413"/>
      <c r="AB3" s="413"/>
      <c r="AC3" s="413"/>
      <c r="AD3" s="413"/>
      <c r="AE3" s="413"/>
      <c r="AF3" s="413"/>
      <c r="AG3" s="196"/>
      <c r="AH3" s="449" t="s">
        <v>12</v>
      </c>
      <c r="AI3" s="449"/>
      <c r="AJ3" s="449"/>
      <c r="AK3" s="449"/>
      <c r="AL3" s="449"/>
      <c r="AM3" s="449"/>
      <c r="AN3" s="449"/>
      <c r="AO3" s="449"/>
      <c r="AP3" s="449"/>
      <c r="AQ3" s="449"/>
      <c r="AR3" s="417" t="s">
        <v>13</v>
      </c>
      <c r="AS3" s="417"/>
      <c r="AT3" s="417"/>
      <c r="AU3" s="417"/>
      <c r="AV3" s="417"/>
      <c r="AW3" s="417"/>
      <c r="AX3" s="417"/>
      <c r="AY3" s="417"/>
      <c r="AZ3" s="417"/>
      <c r="BA3" s="417"/>
    </row>
    <row r="4" spans="1:53" ht="16.2" thickBot="1" x14ac:dyDescent="0.35">
      <c r="A4" s="450" t="s">
        <v>1</v>
      </c>
      <c r="B4" s="452" t="s">
        <v>92</v>
      </c>
      <c r="C4" s="453"/>
      <c r="D4" s="420" t="s">
        <v>2</v>
      </c>
      <c r="E4" s="420"/>
      <c r="F4" s="421"/>
      <c r="G4" s="422" t="s">
        <v>3</v>
      </c>
      <c r="H4" s="423"/>
      <c r="I4" s="424"/>
      <c r="J4" s="425" t="s">
        <v>4</v>
      </c>
      <c r="K4" s="426"/>
      <c r="L4" s="427"/>
      <c r="M4" s="446" t="s">
        <v>5</v>
      </c>
      <c r="N4" s="447"/>
      <c r="O4" s="448"/>
      <c r="P4" s="428" t="s">
        <v>6</v>
      </c>
      <c r="Q4" s="429"/>
      <c r="R4" s="430"/>
      <c r="S4" s="431" t="s">
        <v>7</v>
      </c>
      <c r="T4" s="432"/>
      <c r="U4" s="433"/>
      <c r="V4" s="434" t="s">
        <v>8</v>
      </c>
      <c r="W4" s="435"/>
      <c r="X4" s="436"/>
      <c r="Y4" s="437" t="s">
        <v>9</v>
      </c>
      <c r="Z4" s="438"/>
      <c r="AA4" s="439"/>
      <c r="AB4" s="440" t="s">
        <v>10</v>
      </c>
      <c r="AC4" s="441"/>
      <c r="AD4" s="442"/>
      <c r="AE4" s="443" t="s">
        <v>11</v>
      </c>
      <c r="AF4" s="444"/>
      <c r="AG4" s="444"/>
      <c r="AH4" s="206" t="s">
        <v>2</v>
      </c>
      <c r="AI4" s="206" t="s">
        <v>3</v>
      </c>
      <c r="AJ4" s="206" t="s">
        <v>4</v>
      </c>
      <c r="AK4" s="206" t="s">
        <v>5</v>
      </c>
      <c r="AL4" s="206" t="s">
        <v>6</v>
      </c>
      <c r="AM4" s="206" t="s">
        <v>7</v>
      </c>
      <c r="AN4" s="206" t="s">
        <v>8</v>
      </c>
      <c r="AO4" s="206" t="s">
        <v>9</v>
      </c>
      <c r="AP4" s="206" t="s">
        <v>10</v>
      </c>
      <c r="AQ4" s="206" t="s">
        <v>11</v>
      </c>
      <c r="AR4" s="186" t="s">
        <v>2</v>
      </c>
      <c r="AS4" s="186" t="s">
        <v>3</v>
      </c>
      <c r="AT4" s="186" t="s">
        <v>4</v>
      </c>
      <c r="AU4" s="186" t="s">
        <v>5</v>
      </c>
      <c r="AV4" s="186" t="s">
        <v>6</v>
      </c>
      <c r="AW4" s="186" t="s">
        <v>7</v>
      </c>
      <c r="AX4" s="186" t="s">
        <v>8</v>
      </c>
      <c r="AY4" s="186" t="s">
        <v>9</v>
      </c>
      <c r="AZ4" s="186" t="s">
        <v>10</v>
      </c>
      <c r="BA4" s="197" t="s">
        <v>11</v>
      </c>
    </row>
    <row r="5" spans="1:53" ht="15.75" customHeight="1" thickBot="1" x14ac:dyDescent="0.35">
      <c r="A5" s="451"/>
      <c r="B5" s="135" t="s">
        <v>93</v>
      </c>
      <c r="C5" s="136" t="s">
        <v>94</v>
      </c>
      <c r="D5" s="187" t="s">
        <v>95</v>
      </c>
      <c r="E5" s="188" t="s">
        <v>96</v>
      </c>
      <c r="F5" s="189" t="s">
        <v>97</v>
      </c>
      <c r="G5" s="190" t="s">
        <v>95</v>
      </c>
      <c r="H5" s="188" t="s">
        <v>96</v>
      </c>
      <c r="I5" s="191" t="s">
        <v>97</v>
      </c>
      <c r="J5" s="137" t="s">
        <v>95</v>
      </c>
      <c r="K5" s="138" t="s">
        <v>96</v>
      </c>
      <c r="L5" s="139" t="s">
        <v>97</v>
      </c>
      <c r="M5" s="187" t="s">
        <v>95</v>
      </c>
      <c r="N5" s="188" t="s">
        <v>96</v>
      </c>
      <c r="O5" s="189" t="s">
        <v>97</v>
      </c>
      <c r="P5" s="190" t="s">
        <v>95</v>
      </c>
      <c r="Q5" s="188" t="s">
        <v>96</v>
      </c>
      <c r="R5" s="189" t="s">
        <v>97</v>
      </c>
      <c r="S5" s="190" t="s">
        <v>95</v>
      </c>
      <c r="T5" s="188" t="s">
        <v>96</v>
      </c>
      <c r="U5" s="189" t="s">
        <v>97</v>
      </c>
      <c r="V5" s="190" t="s">
        <v>95</v>
      </c>
      <c r="W5" s="188" t="s">
        <v>96</v>
      </c>
      <c r="X5" s="189" t="s">
        <v>97</v>
      </c>
      <c r="Y5" s="190" t="s">
        <v>95</v>
      </c>
      <c r="Z5" s="188" t="s">
        <v>96</v>
      </c>
      <c r="AA5" s="189" t="s">
        <v>97</v>
      </c>
      <c r="AB5" s="190" t="s">
        <v>95</v>
      </c>
      <c r="AC5" s="188" t="s">
        <v>96</v>
      </c>
      <c r="AD5" s="189" t="s">
        <v>97</v>
      </c>
      <c r="AE5" s="190" t="s">
        <v>95</v>
      </c>
      <c r="AF5" s="188" t="s">
        <v>96</v>
      </c>
      <c r="AG5" s="191" t="s">
        <v>97</v>
      </c>
      <c r="AH5" s="229">
        <v>0.9</v>
      </c>
      <c r="AI5" s="229">
        <v>0.9</v>
      </c>
      <c r="AJ5" s="229">
        <v>0.9</v>
      </c>
      <c r="AK5" s="229">
        <v>0.9</v>
      </c>
      <c r="AL5" s="229">
        <v>0.9</v>
      </c>
      <c r="AM5" s="229">
        <v>0.9</v>
      </c>
      <c r="AN5" s="229">
        <v>0.9</v>
      </c>
      <c r="AO5" s="229">
        <v>0.9</v>
      </c>
      <c r="AP5" s="229">
        <v>0.9</v>
      </c>
      <c r="AQ5" s="230">
        <v>0.9</v>
      </c>
      <c r="AR5" s="12"/>
      <c r="AS5" s="12"/>
      <c r="AT5" s="12"/>
      <c r="AU5" s="12"/>
      <c r="AV5" s="12"/>
      <c r="AW5" s="12"/>
      <c r="AX5" s="12"/>
      <c r="AY5" s="12"/>
      <c r="AZ5" s="12"/>
      <c r="BA5" s="13"/>
    </row>
    <row r="6" spans="1:53" x14ac:dyDescent="0.3">
      <c r="A6" s="140" t="s">
        <v>87</v>
      </c>
      <c r="B6" s="141"/>
      <c r="C6" s="232"/>
      <c r="D6" s="142"/>
      <c r="E6" s="240"/>
      <c r="F6" s="241"/>
      <c r="G6" s="235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2"/>
      <c r="AF6" s="142"/>
      <c r="AG6" s="222"/>
      <c r="AH6" s="231">
        <f>+Janvier!AJ6</f>
        <v>8562.51</v>
      </c>
      <c r="AI6" s="231">
        <f>+Janvier!AK6</f>
        <v>29828.509615384621</v>
      </c>
      <c r="AJ6" s="231">
        <f>+Janvier!AL6</f>
        <v>19865.787403846156</v>
      </c>
      <c r="AK6" s="231">
        <f>+Janvier!AM6</f>
        <v>19865.787403846156</v>
      </c>
      <c r="AL6" s="231">
        <f>+Janvier!AN6</f>
        <v>12527.97403846154</v>
      </c>
      <c r="AM6" s="231">
        <f>+Janvier!AO6</f>
        <v>7457.1274038461552</v>
      </c>
      <c r="AN6" s="231">
        <f>+Janvier!AP6</f>
        <v>14914.25480769231</v>
      </c>
      <c r="AO6" s="231">
        <f>+Janvier!AQ6</f>
        <v>7457.1274038461552</v>
      </c>
      <c r="AP6" s="231">
        <f>+Janvier!AR6</f>
        <v>7457.1274038461552</v>
      </c>
      <c r="AQ6" s="231">
        <f>+Janvier!AS6</f>
        <v>13292.847692307696</v>
      </c>
      <c r="AR6" s="16">
        <f>ROUND(E6/(AH6/15),0)</f>
        <v>0</v>
      </c>
      <c r="AS6" s="16">
        <f>ROUND(H6/(AI6/15),0)</f>
        <v>0</v>
      </c>
      <c r="AT6" s="16">
        <f>ROUND(K6/(AJ6/15),0)</f>
        <v>0</v>
      </c>
      <c r="AU6" s="16">
        <f>ROUND(N6/(AK6/15),0)</f>
        <v>0</v>
      </c>
      <c r="AV6" s="16">
        <f>ROUND(Q6/(AL6/15),0)</f>
        <v>0</v>
      </c>
      <c r="AW6" s="16">
        <f>ROUND(T6/(AM6/15),0)</f>
        <v>0</v>
      </c>
      <c r="AX6" s="16">
        <f>ROUND(W6/(AN6/15),0)</f>
        <v>0</v>
      </c>
      <c r="AY6" s="16">
        <f>ROUND(Z6/(AO6/15),0)</f>
        <v>0</v>
      </c>
      <c r="AZ6" s="16">
        <f>ROUND(AC6/(AP6/15),0)</f>
        <v>0</v>
      </c>
      <c r="BA6" s="17">
        <f t="shared" ref="BA6" si="0">ROUND(AF6/(AQ6/15),0)</f>
        <v>0</v>
      </c>
    </row>
    <row r="7" spans="1:53" x14ac:dyDescent="0.3">
      <c r="A7" s="184" t="s">
        <v>100</v>
      </c>
      <c r="B7" s="94"/>
      <c r="C7" s="233"/>
      <c r="D7" s="107"/>
      <c r="E7" s="106"/>
      <c r="F7" s="117"/>
      <c r="G7" s="236"/>
      <c r="H7" s="96"/>
      <c r="I7" s="105"/>
      <c r="J7" s="95"/>
      <c r="K7" s="96"/>
      <c r="L7" s="97"/>
      <c r="M7" s="95"/>
      <c r="N7" s="96"/>
      <c r="O7" s="97"/>
      <c r="P7" s="95"/>
      <c r="Q7" s="96"/>
      <c r="R7" s="97"/>
      <c r="S7" s="95"/>
      <c r="T7" s="96"/>
      <c r="U7" s="97"/>
      <c r="V7" s="95"/>
      <c r="W7" s="96"/>
      <c r="X7" s="97"/>
      <c r="Y7" s="95"/>
      <c r="Z7" s="96"/>
      <c r="AA7" s="97"/>
      <c r="AB7" s="95"/>
      <c r="AC7" s="96"/>
      <c r="AD7" s="97"/>
      <c r="AE7" s="95"/>
      <c r="AF7" s="96"/>
      <c r="AG7" s="105"/>
      <c r="AH7" s="231">
        <f>+Janvier!AJ7</f>
        <v>205.71428571428572</v>
      </c>
      <c r="AI7" s="231">
        <f>+Janvier!AK7</f>
        <v>640.00000000000011</v>
      </c>
      <c r="AJ7" s="231">
        <f>+Janvier!AL7</f>
        <v>480</v>
      </c>
      <c r="AK7" s="231">
        <f>+Janvier!AM7</f>
        <v>480</v>
      </c>
      <c r="AL7" s="231">
        <f>+Janvier!AN7</f>
        <v>290.90909090909099</v>
      </c>
      <c r="AM7" s="231">
        <f>+Janvier!AO7</f>
        <v>180.00000000000003</v>
      </c>
      <c r="AN7" s="231">
        <f>+Janvier!AP7</f>
        <v>360.00000000000006</v>
      </c>
      <c r="AO7" s="231">
        <f>+Janvier!AQ7</f>
        <v>180.00000000000003</v>
      </c>
      <c r="AP7" s="231">
        <f>+Janvier!AR7</f>
        <v>180.00000000000003</v>
      </c>
      <c r="AQ7" s="231">
        <f>+Janvier!AS7</f>
        <v>320.00000000000006</v>
      </c>
      <c r="AR7" s="19">
        <f t="shared" ref="AR7:AR13" si="1">ROUND(E7/(AH7/5),0)</f>
        <v>0</v>
      </c>
      <c r="AS7" s="19">
        <f>ROUND(H7/(AI7/5),0)</f>
        <v>0</v>
      </c>
      <c r="AT7" s="19">
        <f>ROUND(K7/(AJ7/5),0)</f>
        <v>0</v>
      </c>
      <c r="AU7" s="19">
        <f>ROUND(N7/(AK7/5),0)</f>
        <v>0</v>
      </c>
      <c r="AV7" s="19">
        <f>ROUND(Q7/(AL7/5),0)</f>
        <v>0</v>
      </c>
      <c r="AW7" s="19">
        <f>ROUND(T7/(AM7/5),0)</f>
        <v>0</v>
      </c>
      <c r="AX7" s="19">
        <f>ROUND(W7/(AN7/5),0)</f>
        <v>0</v>
      </c>
      <c r="AY7" s="19">
        <f>ROUND(Z7/(AO7/5),0)</f>
        <v>0</v>
      </c>
      <c r="AZ7" s="19">
        <f>ROUND(AC7/(AP7/5),0)</f>
        <v>0</v>
      </c>
      <c r="BA7" s="20">
        <f t="shared" ref="BA7:BA13" si="2">ROUND(AF7/(AQ7/5),0)</f>
        <v>0</v>
      </c>
    </row>
    <row r="8" spans="1:53" x14ac:dyDescent="0.3">
      <c r="A8" s="184" t="s">
        <v>101</v>
      </c>
      <c r="B8" s="94"/>
      <c r="C8" s="233"/>
      <c r="D8" s="107"/>
      <c r="E8" s="96"/>
      <c r="F8" s="97"/>
      <c r="G8" s="237"/>
      <c r="H8" s="96"/>
      <c r="I8" s="105"/>
      <c r="J8" s="95"/>
      <c r="K8" s="96"/>
      <c r="L8" s="97"/>
      <c r="M8" s="95"/>
      <c r="N8" s="96"/>
      <c r="O8" s="97"/>
      <c r="P8" s="95"/>
      <c r="Q8" s="96"/>
      <c r="R8" s="97"/>
      <c r="S8" s="95"/>
      <c r="T8" s="96"/>
      <c r="U8" s="97"/>
      <c r="V8" s="95"/>
      <c r="W8" s="96"/>
      <c r="X8" s="97"/>
      <c r="Y8" s="95"/>
      <c r="Z8" s="96"/>
      <c r="AA8" s="97"/>
      <c r="AB8" s="95"/>
      <c r="AC8" s="96"/>
      <c r="AD8" s="97"/>
      <c r="AE8" s="95"/>
      <c r="AF8" s="96"/>
      <c r="AG8" s="105"/>
      <c r="AH8" s="231">
        <f>+Janvier!AJ8</f>
        <v>676.23626373626382</v>
      </c>
      <c r="AI8" s="231">
        <f>+Janvier!AK8</f>
        <v>2103.8461538461538</v>
      </c>
      <c r="AJ8" s="231">
        <f>+Janvier!AL8</f>
        <v>1577.8846153846155</v>
      </c>
      <c r="AK8" s="231">
        <f>+Janvier!AM8</f>
        <v>1577.8846153846155</v>
      </c>
      <c r="AL8" s="231">
        <f>+Janvier!AN8</f>
        <v>956.29370629370646</v>
      </c>
      <c r="AM8" s="231">
        <f>+Janvier!AO8</f>
        <v>591.70673076923083</v>
      </c>
      <c r="AN8" s="231">
        <f>+Janvier!AP8</f>
        <v>1183.4134615384617</v>
      </c>
      <c r="AO8" s="231">
        <f>+Janvier!AQ8</f>
        <v>591.70673076923083</v>
      </c>
      <c r="AP8" s="231">
        <f>+Janvier!AR8</f>
        <v>591.70673076923083</v>
      </c>
      <c r="AQ8" s="231">
        <f>+Janvier!AS8</f>
        <v>1051.9230769230769</v>
      </c>
      <c r="AR8" s="19">
        <f t="shared" si="1"/>
        <v>0</v>
      </c>
      <c r="AS8" s="19">
        <f t="shared" ref="AS8:AS13" si="3">ROUND(H8/(AI8/5),0)</f>
        <v>0</v>
      </c>
      <c r="AT8" s="19">
        <f t="shared" ref="AT8:AT13" si="4">ROUND(K8/(AJ8/5),0)</f>
        <v>0</v>
      </c>
      <c r="AU8" s="19">
        <f t="shared" ref="AU8:AU13" si="5">ROUND(N8/(AK8/5),0)</f>
        <v>0</v>
      </c>
      <c r="AV8" s="19">
        <f t="shared" ref="AV8:AV13" si="6">ROUND(Q8/(AL8/5),0)</f>
        <v>0</v>
      </c>
      <c r="AW8" s="19">
        <f t="shared" ref="AW8:AW13" si="7">ROUND(T8/(AM8/5),0)</f>
        <v>0</v>
      </c>
      <c r="AX8" s="19">
        <f t="shared" ref="AX8:AX13" si="8">ROUND(W8/(AN8/5),0)</f>
        <v>0</v>
      </c>
      <c r="AY8" s="19">
        <f t="shared" ref="AY8:AY13" si="9">ROUND(Z8/(AO8/5),0)</f>
        <v>0</v>
      </c>
      <c r="AZ8" s="19">
        <f t="shared" ref="AZ8:AZ13" si="10">ROUND(AC8/(AP8/5),0)</f>
        <v>0</v>
      </c>
      <c r="BA8" s="20">
        <f t="shared" si="2"/>
        <v>0</v>
      </c>
    </row>
    <row r="9" spans="1:53" x14ac:dyDescent="0.3">
      <c r="A9" s="184" t="s">
        <v>102</v>
      </c>
      <c r="B9" s="94"/>
      <c r="C9" s="233"/>
      <c r="D9" s="107"/>
      <c r="E9" s="96"/>
      <c r="F9" s="97"/>
      <c r="G9" s="237"/>
      <c r="H9" s="96"/>
      <c r="I9" s="105"/>
      <c r="J9" s="95"/>
      <c r="K9" s="96"/>
      <c r="L9" s="97"/>
      <c r="M9" s="95"/>
      <c r="N9" s="96"/>
      <c r="O9" s="97"/>
      <c r="P9" s="95"/>
      <c r="Q9" s="96"/>
      <c r="R9" s="97"/>
      <c r="S9" s="95"/>
      <c r="T9" s="96"/>
      <c r="U9" s="97"/>
      <c r="V9" s="95"/>
      <c r="W9" s="96"/>
      <c r="X9" s="97"/>
      <c r="Y9" s="95"/>
      <c r="Z9" s="96"/>
      <c r="AA9" s="97"/>
      <c r="AB9" s="95"/>
      <c r="AC9" s="96"/>
      <c r="AD9" s="97"/>
      <c r="AE9" s="95"/>
      <c r="AF9" s="96"/>
      <c r="AG9" s="105"/>
      <c r="AH9" s="231">
        <f>+Janvier!AJ9</f>
        <v>611.82692307692309</v>
      </c>
      <c r="AI9" s="231">
        <f>+Janvier!AK9</f>
        <v>1903.4615384615386</v>
      </c>
      <c r="AJ9" s="231">
        <f>+Janvier!AL9</f>
        <v>1427.5961538461543</v>
      </c>
      <c r="AK9" s="231">
        <f>+Janvier!AM9</f>
        <v>1427.5961538461543</v>
      </c>
      <c r="AL9" s="231">
        <f>+Janvier!AN9</f>
        <v>865.20979020979041</v>
      </c>
      <c r="AM9" s="231">
        <f>+Janvier!AO9</f>
        <v>535.34855769230762</v>
      </c>
      <c r="AN9" s="231">
        <f>+Janvier!AP9</f>
        <v>1070.6971153846152</v>
      </c>
      <c r="AO9" s="231">
        <f>+Janvier!AQ9</f>
        <v>535.34855769230762</v>
      </c>
      <c r="AP9" s="231">
        <f>+Janvier!AR9</f>
        <v>535.34855769230762</v>
      </c>
      <c r="AQ9" s="231">
        <f>+Janvier!AS9</f>
        <v>951.73076923076928</v>
      </c>
      <c r="AR9" s="19">
        <f t="shared" si="1"/>
        <v>0</v>
      </c>
      <c r="AS9" s="19">
        <f t="shared" si="3"/>
        <v>0</v>
      </c>
      <c r="AT9" s="19">
        <f t="shared" si="4"/>
        <v>0</v>
      </c>
      <c r="AU9" s="19">
        <f t="shared" si="5"/>
        <v>0</v>
      </c>
      <c r="AV9" s="19">
        <f t="shared" si="6"/>
        <v>0</v>
      </c>
      <c r="AW9" s="19">
        <f t="shared" si="7"/>
        <v>0</v>
      </c>
      <c r="AX9" s="19">
        <f t="shared" si="8"/>
        <v>0</v>
      </c>
      <c r="AY9" s="19">
        <f t="shared" si="9"/>
        <v>0</v>
      </c>
      <c r="AZ9" s="19">
        <f t="shared" si="10"/>
        <v>0</v>
      </c>
      <c r="BA9" s="20">
        <f t="shared" si="2"/>
        <v>0</v>
      </c>
    </row>
    <row r="10" spans="1:53" x14ac:dyDescent="0.3">
      <c r="A10" s="184" t="s">
        <v>34</v>
      </c>
      <c r="B10" s="94"/>
      <c r="C10" s="233"/>
      <c r="D10" s="107"/>
      <c r="E10" s="96"/>
      <c r="F10" s="97"/>
      <c r="G10" s="237"/>
      <c r="H10" s="96"/>
      <c r="I10" s="105"/>
      <c r="J10" s="95"/>
      <c r="K10" s="96"/>
      <c r="L10" s="97"/>
      <c r="M10" s="95"/>
      <c r="N10" s="96"/>
      <c r="O10" s="97"/>
      <c r="P10" s="95"/>
      <c r="Q10" s="96"/>
      <c r="R10" s="97"/>
      <c r="S10" s="95"/>
      <c r="T10" s="96"/>
      <c r="U10" s="97"/>
      <c r="V10" s="95"/>
      <c r="W10" s="96"/>
      <c r="X10" s="97"/>
      <c r="Y10" s="95"/>
      <c r="Z10" s="96"/>
      <c r="AA10" s="97"/>
      <c r="AB10" s="95"/>
      <c r="AC10" s="96"/>
      <c r="AD10" s="97"/>
      <c r="AE10" s="95"/>
      <c r="AF10" s="96"/>
      <c r="AG10" s="105"/>
      <c r="AH10" s="231">
        <f>+Janvier!AJ10</f>
        <v>104.46428571428572</v>
      </c>
      <c r="AI10" s="231">
        <f>+Janvier!AK10</f>
        <v>325</v>
      </c>
      <c r="AJ10" s="231">
        <f>+Janvier!AL10</f>
        <v>243.75</v>
      </c>
      <c r="AK10" s="231">
        <f>+Janvier!AM10</f>
        <v>243.75</v>
      </c>
      <c r="AL10" s="231">
        <f>+Janvier!AN10</f>
        <v>147.72727272727275</v>
      </c>
      <c r="AM10" s="231">
        <f>+Janvier!AO10</f>
        <v>91.40625</v>
      </c>
      <c r="AN10" s="231">
        <f>+Janvier!AP10</f>
        <v>182.8125</v>
      </c>
      <c r="AO10" s="231">
        <f>+Janvier!AQ10</f>
        <v>91.40625</v>
      </c>
      <c r="AP10" s="231">
        <f>+Janvier!AR10</f>
        <v>91.40625</v>
      </c>
      <c r="AQ10" s="231">
        <f>+Janvier!AS10</f>
        <v>162.5</v>
      </c>
      <c r="AR10" s="19">
        <f t="shared" si="1"/>
        <v>0</v>
      </c>
      <c r="AS10" s="19">
        <f t="shared" si="3"/>
        <v>0</v>
      </c>
      <c r="AT10" s="19">
        <f t="shared" si="4"/>
        <v>0</v>
      </c>
      <c r="AU10" s="19">
        <f t="shared" si="5"/>
        <v>0</v>
      </c>
      <c r="AV10" s="19">
        <f t="shared" si="6"/>
        <v>0</v>
      </c>
      <c r="AW10" s="19">
        <f t="shared" si="7"/>
        <v>0</v>
      </c>
      <c r="AX10" s="19">
        <f t="shared" si="8"/>
        <v>0</v>
      </c>
      <c r="AY10" s="19">
        <f t="shared" si="9"/>
        <v>0</v>
      </c>
      <c r="AZ10" s="19">
        <f t="shared" si="10"/>
        <v>0</v>
      </c>
      <c r="BA10" s="20">
        <f t="shared" si="2"/>
        <v>0</v>
      </c>
    </row>
    <row r="11" spans="1:53" x14ac:dyDescent="0.3">
      <c r="A11" s="184" t="s">
        <v>103</v>
      </c>
      <c r="B11" s="94"/>
      <c r="C11" s="233"/>
      <c r="D11" s="107"/>
      <c r="E11" s="96"/>
      <c r="F11" s="97"/>
      <c r="G11" s="237"/>
      <c r="H11" s="96"/>
      <c r="I11" s="105"/>
      <c r="J11" s="95"/>
      <c r="K11" s="96"/>
      <c r="L11" s="97"/>
      <c r="M11" s="95"/>
      <c r="N11" s="96"/>
      <c r="O11" s="97"/>
      <c r="P11" s="95"/>
      <c r="Q11" s="96"/>
      <c r="R11" s="97"/>
      <c r="S11" s="95"/>
      <c r="T11" s="96"/>
      <c r="U11" s="97"/>
      <c r="V11" s="95"/>
      <c r="W11" s="96"/>
      <c r="X11" s="97"/>
      <c r="Y11" s="95"/>
      <c r="Z11" s="96"/>
      <c r="AA11" s="97"/>
      <c r="AB11" s="95"/>
      <c r="AC11" s="96"/>
      <c r="AD11" s="97"/>
      <c r="AE11" s="95"/>
      <c r="AF11" s="96"/>
      <c r="AG11" s="105"/>
      <c r="AH11" s="231">
        <f>+Janvier!AJ11</f>
        <v>190.75549450549454</v>
      </c>
      <c r="AI11" s="231">
        <f>+Janvier!AK11</f>
        <v>593.46153846153857</v>
      </c>
      <c r="AJ11" s="231">
        <f>+Janvier!AL11</f>
        <v>445.09615384615392</v>
      </c>
      <c r="AK11" s="231">
        <f>+Janvier!AM11</f>
        <v>445.09615384615392</v>
      </c>
      <c r="AL11" s="231">
        <f>+Janvier!AN11</f>
        <v>269.7552447552448</v>
      </c>
      <c r="AM11" s="231">
        <f>+Janvier!AO11</f>
        <v>166.91105769230771</v>
      </c>
      <c r="AN11" s="231">
        <f>+Janvier!AP11</f>
        <v>333.82211538461542</v>
      </c>
      <c r="AO11" s="231">
        <f>+Janvier!AQ11</f>
        <v>166.91105769230771</v>
      </c>
      <c r="AP11" s="231">
        <f>+Janvier!AR11</f>
        <v>166.91105769230771</v>
      </c>
      <c r="AQ11" s="231">
        <f>+Janvier!AS11</f>
        <v>296.73076923076928</v>
      </c>
      <c r="AR11" s="19">
        <f t="shared" si="1"/>
        <v>0</v>
      </c>
      <c r="AS11" s="19">
        <f t="shared" si="3"/>
        <v>0</v>
      </c>
      <c r="AT11" s="19">
        <f t="shared" si="4"/>
        <v>0</v>
      </c>
      <c r="AU11" s="19">
        <f t="shared" si="5"/>
        <v>0</v>
      </c>
      <c r="AV11" s="19">
        <f t="shared" si="6"/>
        <v>0</v>
      </c>
      <c r="AW11" s="19">
        <f t="shared" si="7"/>
        <v>0</v>
      </c>
      <c r="AX11" s="19">
        <f t="shared" si="8"/>
        <v>0</v>
      </c>
      <c r="AY11" s="19">
        <f t="shared" si="9"/>
        <v>0</v>
      </c>
      <c r="AZ11" s="19">
        <f t="shared" si="10"/>
        <v>0</v>
      </c>
      <c r="BA11" s="20">
        <f t="shared" si="2"/>
        <v>0</v>
      </c>
    </row>
    <row r="12" spans="1:53" x14ac:dyDescent="0.3">
      <c r="A12" s="184" t="s">
        <v>104</v>
      </c>
      <c r="B12" s="94"/>
      <c r="C12" s="233"/>
      <c r="D12" s="107"/>
      <c r="E12" s="106"/>
      <c r="F12" s="117"/>
      <c r="G12" s="236"/>
      <c r="H12" s="96"/>
      <c r="I12" s="105"/>
      <c r="J12" s="95"/>
      <c r="K12" s="96"/>
      <c r="L12" s="97"/>
      <c r="M12" s="95"/>
      <c r="N12" s="96"/>
      <c r="O12" s="97"/>
      <c r="P12" s="95"/>
      <c r="Q12" s="96"/>
      <c r="R12" s="97"/>
      <c r="S12" s="95"/>
      <c r="T12" s="96"/>
      <c r="U12" s="97"/>
      <c r="V12" s="95"/>
      <c r="W12" s="96"/>
      <c r="X12" s="97"/>
      <c r="Y12" s="95"/>
      <c r="Z12" s="96"/>
      <c r="AA12" s="97"/>
      <c r="AB12" s="95"/>
      <c r="AC12" s="96"/>
      <c r="AD12" s="97"/>
      <c r="AE12" s="95"/>
      <c r="AF12" s="96"/>
      <c r="AG12" s="105"/>
      <c r="AH12" s="231">
        <f>+Janvier!AJ12</f>
        <v>302.3901098901099</v>
      </c>
      <c r="AI12" s="231">
        <f>+Janvier!AK12</f>
        <v>940.76923076923083</v>
      </c>
      <c r="AJ12" s="231">
        <f>+Janvier!AL12</f>
        <v>705.57692307692321</v>
      </c>
      <c r="AK12" s="231">
        <f>+Janvier!AM12</f>
        <v>705.57692307692321</v>
      </c>
      <c r="AL12" s="231">
        <f>+Janvier!AN12</f>
        <v>427.62237762237766</v>
      </c>
      <c r="AM12" s="231">
        <f>+Janvier!AO12</f>
        <v>264.59134615384619</v>
      </c>
      <c r="AN12" s="231">
        <f>+Janvier!AP12</f>
        <v>529.18269230769238</v>
      </c>
      <c r="AO12" s="231">
        <f>+Janvier!AQ12</f>
        <v>264.59134615384619</v>
      </c>
      <c r="AP12" s="231">
        <f>+Janvier!AR12</f>
        <v>264.59134615384619</v>
      </c>
      <c r="AQ12" s="231">
        <f>+Janvier!AS12</f>
        <v>470.38461538461542</v>
      </c>
      <c r="AR12" s="19">
        <f t="shared" si="1"/>
        <v>0</v>
      </c>
      <c r="AS12" s="19">
        <f t="shared" si="3"/>
        <v>0</v>
      </c>
      <c r="AT12" s="19">
        <f t="shared" si="4"/>
        <v>0</v>
      </c>
      <c r="AU12" s="19">
        <f t="shared" si="5"/>
        <v>0</v>
      </c>
      <c r="AV12" s="19">
        <f t="shared" si="6"/>
        <v>0</v>
      </c>
      <c r="AW12" s="19">
        <f t="shared" si="7"/>
        <v>0</v>
      </c>
      <c r="AX12" s="19">
        <f t="shared" si="8"/>
        <v>0</v>
      </c>
      <c r="AY12" s="19">
        <f t="shared" si="9"/>
        <v>0</v>
      </c>
      <c r="AZ12" s="19">
        <f t="shared" si="10"/>
        <v>0</v>
      </c>
      <c r="BA12" s="20">
        <f t="shared" si="2"/>
        <v>0</v>
      </c>
    </row>
    <row r="13" spans="1:53" ht="15" thickBot="1" x14ac:dyDescent="0.35">
      <c r="A13" s="121" t="s">
        <v>105</v>
      </c>
      <c r="B13" s="143"/>
      <c r="C13" s="234"/>
      <c r="D13" s="249"/>
      <c r="E13" s="250"/>
      <c r="F13" s="251"/>
      <c r="G13" s="238"/>
      <c r="H13" s="109"/>
      <c r="I13" s="112"/>
      <c r="J13" s="111"/>
      <c r="K13" s="109"/>
      <c r="L13" s="110"/>
      <c r="M13" s="111"/>
      <c r="N13" s="109"/>
      <c r="O13" s="110"/>
      <c r="P13" s="111"/>
      <c r="Q13" s="109"/>
      <c r="R13" s="110"/>
      <c r="S13" s="111"/>
      <c r="T13" s="109"/>
      <c r="U13" s="110"/>
      <c r="V13" s="111"/>
      <c r="W13" s="109"/>
      <c r="X13" s="110"/>
      <c r="Y13" s="111"/>
      <c r="Z13" s="109"/>
      <c r="AA13" s="110"/>
      <c r="AB13" s="111"/>
      <c r="AC13" s="109"/>
      <c r="AD13" s="110"/>
      <c r="AE13" s="111"/>
      <c r="AF13" s="109"/>
      <c r="AG13" s="112"/>
      <c r="AH13" s="231">
        <f>+Janvier!AJ13</f>
        <v>749.42307692307691</v>
      </c>
      <c r="AI13" s="231">
        <f>+Janvier!AK13</f>
        <v>2331.5384615384619</v>
      </c>
      <c r="AJ13" s="231">
        <f>+Janvier!AL13</f>
        <v>1748.6538461538464</v>
      </c>
      <c r="AK13" s="231">
        <f>+Janvier!AM13</f>
        <v>1748.6538461538464</v>
      </c>
      <c r="AL13" s="231">
        <f>+Janvier!AN13</f>
        <v>1059.7902097902099</v>
      </c>
      <c r="AM13" s="231">
        <f>+Janvier!AO13</f>
        <v>655.74519230769226</v>
      </c>
      <c r="AN13" s="231">
        <f>+Janvier!AP13</f>
        <v>1311.4903846153845</v>
      </c>
      <c r="AO13" s="231">
        <f>+Janvier!AQ13</f>
        <v>655.74519230769226</v>
      </c>
      <c r="AP13" s="231">
        <f>+Janvier!AR13</f>
        <v>655.74519230769226</v>
      </c>
      <c r="AQ13" s="231">
        <f>+Janvier!AS13</f>
        <v>1165.7692307692309</v>
      </c>
      <c r="AR13" s="29">
        <f t="shared" si="1"/>
        <v>0</v>
      </c>
      <c r="AS13" s="29">
        <f t="shared" si="3"/>
        <v>0</v>
      </c>
      <c r="AT13" s="29">
        <f t="shared" si="4"/>
        <v>0</v>
      </c>
      <c r="AU13" s="29">
        <f t="shared" si="5"/>
        <v>0</v>
      </c>
      <c r="AV13" s="29">
        <f t="shared" si="6"/>
        <v>0</v>
      </c>
      <c r="AW13" s="29">
        <f t="shared" si="7"/>
        <v>0</v>
      </c>
      <c r="AX13" s="29">
        <f t="shared" si="8"/>
        <v>0</v>
      </c>
      <c r="AY13" s="29">
        <f t="shared" si="9"/>
        <v>0</v>
      </c>
      <c r="AZ13" s="29">
        <f t="shared" si="10"/>
        <v>0</v>
      </c>
      <c r="BA13" s="30">
        <f t="shared" si="2"/>
        <v>0</v>
      </c>
    </row>
    <row r="14" spans="1:53" x14ac:dyDescent="0.3">
      <c r="A14" s="140" t="s">
        <v>85</v>
      </c>
      <c r="B14" s="152"/>
      <c r="C14" s="242"/>
      <c r="D14" s="155"/>
      <c r="E14" s="154"/>
      <c r="F14" s="165"/>
      <c r="G14" s="245"/>
      <c r="H14" s="167"/>
      <c r="I14" s="168"/>
      <c r="J14" s="155"/>
      <c r="K14" s="154"/>
      <c r="L14" s="153"/>
      <c r="M14" s="155"/>
      <c r="N14" s="154"/>
      <c r="O14" s="153"/>
      <c r="P14" s="155"/>
      <c r="Q14" s="154"/>
      <c r="R14" s="153"/>
      <c r="S14" s="155"/>
      <c r="T14" s="154"/>
      <c r="U14" s="153"/>
      <c r="V14" s="155"/>
      <c r="W14" s="154"/>
      <c r="X14" s="153"/>
      <c r="Y14" s="155"/>
      <c r="Z14" s="154"/>
      <c r="AA14" s="153"/>
      <c r="AB14" s="155"/>
      <c r="AC14" s="154"/>
      <c r="AD14" s="153"/>
      <c r="AE14" s="155"/>
      <c r="AF14" s="154"/>
      <c r="AG14" s="223"/>
      <c r="AH14" s="231">
        <f>+Janvier!AJ14</f>
        <v>10845.32625</v>
      </c>
      <c r="AI14" s="231">
        <f>+Janvier!AK14</f>
        <v>37883.076923076922</v>
      </c>
      <c r="AJ14" s="231">
        <f>+Janvier!AL14</f>
        <v>25230.129230769231</v>
      </c>
      <c r="AK14" s="231">
        <f>+Janvier!AM14</f>
        <v>25230.129230769231</v>
      </c>
      <c r="AL14" s="231">
        <f>+Janvier!AN14</f>
        <v>15910.892307692309</v>
      </c>
      <c r="AM14" s="231">
        <f>+Janvier!AO14</f>
        <v>9470.7692307692305</v>
      </c>
      <c r="AN14" s="231">
        <f>+Janvier!AP14</f>
        <v>18941.538461538461</v>
      </c>
      <c r="AO14" s="231">
        <f>+Janvier!AQ14</f>
        <v>9470.7692307692305</v>
      </c>
      <c r="AP14" s="231">
        <f>+Janvier!AR14</f>
        <v>9470.7692307692305</v>
      </c>
      <c r="AQ14" s="231">
        <f>+Janvier!AS14</f>
        <v>16836.800192307695</v>
      </c>
      <c r="AR14" s="16">
        <f>ROUND(E14/(AH14/15),0)</f>
        <v>0</v>
      </c>
      <c r="AS14" s="16">
        <f t="shared" ref="AS14" si="11">ROUND(H14/(AI14/15),0)</f>
        <v>0</v>
      </c>
      <c r="AT14" s="16">
        <f t="shared" ref="AT14" si="12">ROUND(K14/(AJ14/15),0)</f>
        <v>0</v>
      </c>
      <c r="AU14" s="16">
        <f t="shared" ref="AU14" si="13">ROUND(N14/(AK14/15),0)</f>
        <v>0</v>
      </c>
      <c r="AV14" s="16">
        <f t="shared" ref="AV14" si="14">ROUND(Q14/(AL14/15),0)</f>
        <v>0</v>
      </c>
      <c r="AW14" s="16">
        <f t="shared" ref="AW14" si="15">ROUND(T14/(AM14/15),0)</f>
        <v>0</v>
      </c>
      <c r="AX14" s="16">
        <f t="shared" ref="AX14" si="16">ROUND(W14/(AN14/15),0)</f>
        <v>0</v>
      </c>
      <c r="AY14" s="16">
        <f t="shared" ref="AY14" si="17">ROUND(Z14/(AO14/15),0)</f>
        <v>0</v>
      </c>
      <c r="AZ14" s="16">
        <f t="shared" ref="AZ14" si="18">ROUND(AC14/(AP14/15),0)</f>
        <v>0</v>
      </c>
      <c r="BA14" s="17">
        <f t="shared" ref="BA14" si="19">ROUND(AF14/(AQ14/15),0)</f>
        <v>0</v>
      </c>
    </row>
    <row r="15" spans="1:53" x14ac:dyDescent="0.3">
      <c r="A15" s="184" t="s">
        <v>57</v>
      </c>
      <c r="B15" s="127"/>
      <c r="C15" s="243"/>
      <c r="D15" s="130"/>
      <c r="E15" s="129"/>
      <c r="F15" s="169"/>
      <c r="G15" s="246"/>
      <c r="H15" s="171"/>
      <c r="I15" s="172"/>
      <c r="J15" s="130"/>
      <c r="K15" s="129"/>
      <c r="L15" s="128"/>
      <c r="M15" s="130"/>
      <c r="N15" s="129"/>
      <c r="O15" s="128"/>
      <c r="P15" s="130"/>
      <c r="Q15" s="129"/>
      <c r="R15" s="128"/>
      <c r="S15" s="130"/>
      <c r="T15" s="129"/>
      <c r="U15" s="128"/>
      <c r="V15" s="130"/>
      <c r="W15" s="129"/>
      <c r="X15" s="128"/>
      <c r="Y15" s="130"/>
      <c r="Z15" s="129"/>
      <c r="AA15" s="128"/>
      <c r="AB15" s="130"/>
      <c r="AC15" s="129"/>
      <c r="AD15" s="128"/>
      <c r="AE15" s="130"/>
      <c r="AF15" s="129"/>
      <c r="AG15" s="224"/>
      <c r="AH15" s="231">
        <f>+Janvier!AJ15</f>
        <v>567.93956043956052</v>
      </c>
      <c r="AI15" s="231">
        <f>+Janvier!AK15</f>
        <v>1766.9230769230774</v>
      </c>
      <c r="AJ15" s="231">
        <f>+Janvier!AL15</f>
        <v>1325.1923076923076</v>
      </c>
      <c r="AK15" s="231">
        <f>+Janvier!AM15</f>
        <v>1325.1923076923076</v>
      </c>
      <c r="AL15" s="231">
        <f>+Janvier!AN15</f>
        <v>803.14685314685323</v>
      </c>
      <c r="AM15" s="231">
        <f>+Janvier!AO15</f>
        <v>496.94711538461542</v>
      </c>
      <c r="AN15" s="231">
        <f>+Janvier!AP15</f>
        <v>993.89423076923083</v>
      </c>
      <c r="AO15" s="231">
        <f>+Janvier!AQ15</f>
        <v>496.94711538461542</v>
      </c>
      <c r="AP15" s="231">
        <f>+Janvier!AR15</f>
        <v>496.94711538461542</v>
      </c>
      <c r="AQ15" s="231">
        <f>+Janvier!AS15</f>
        <v>883.46153846153868</v>
      </c>
      <c r="AR15" s="16">
        <f t="shared" ref="AR15:AR20" si="20">ROUND(E15/(AH15/5),0)</f>
        <v>0</v>
      </c>
      <c r="AS15" s="16">
        <f t="shared" ref="AS15:AS20" si="21">ROUND(H15/(AI15/5),0)</f>
        <v>0</v>
      </c>
      <c r="AT15" s="16">
        <f t="shared" ref="AT15:AT20" si="22">ROUND(K15/(AJ15/5),0)</f>
        <v>0</v>
      </c>
      <c r="AU15" s="16">
        <f t="shared" ref="AU15:AU20" si="23">ROUND(N15/(AK15/5),0)</f>
        <v>0</v>
      </c>
      <c r="AV15" s="16">
        <f t="shared" ref="AV15:AV20" si="24">ROUND(Q15/(AL15/5),0)</f>
        <v>0</v>
      </c>
      <c r="AW15" s="16">
        <f t="shared" ref="AW15:AW20" si="25">ROUND(T15/(AM15/5),0)</f>
        <v>0</v>
      </c>
      <c r="AX15" s="16">
        <f t="shared" ref="AX15:AX20" si="26">ROUND(W15/(AN15/5),0)</f>
        <v>0</v>
      </c>
      <c r="AY15" s="16">
        <f t="shared" ref="AY15:AY20" si="27">ROUND(Z15/(AO15/5),0)</f>
        <v>0</v>
      </c>
      <c r="AZ15" s="16">
        <f t="shared" ref="AZ15:AZ20" si="28">ROUND(AC15/(AP15/5),0)</f>
        <v>0</v>
      </c>
      <c r="BA15" s="17">
        <f t="shared" ref="BA15:BA20" si="29">ROUND(AF15/(AQ15/5),0)</f>
        <v>0</v>
      </c>
    </row>
    <row r="16" spans="1:53" x14ac:dyDescent="0.3">
      <c r="A16" s="184" t="s">
        <v>58</v>
      </c>
      <c r="B16" s="127"/>
      <c r="C16" s="243"/>
      <c r="D16" s="130"/>
      <c r="E16" s="129"/>
      <c r="F16" s="169"/>
      <c r="G16" s="246"/>
      <c r="H16" s="171"/>
      <c r="I16" s="172"/>
      <c r="J16" s="130"/>
      <c r="K16" s="129"/>
      <c r="L16" s="131"/>
      <c r="M16" s="130"/>
      <c r="N16" s="129"/>
      <c r="O16" s="128"/>
      <c r="P16" s="130"/>
      <c r="Q16" s="129"/>
      <c r="R16" s="128"/>
      <c r="S16" s="130"/>
      <c r="T16" s="129"/>
      <c r="U16" s="128"/>
      <c r="V16" s="130"/>
      <c r="W16" s="129"/>
      <c r="X16" s="128"/>
      <c r="Y16" s="130"/>
      <c r="Z16" s="129"/>
      <c r="AA16" s="128"/>
      <c r="AB16" s="130"/>
      <c r="AC16" s="129"/>
      <c r="AD16" s="128"/>
      <c r="AE16" s="130"/>
      <c r="AF16" s="129"/>
      <c r="AG16" s="224"/>
      <c r="AH16" s="231">
        <f>+Janvier!AJ16</f>
        <v>952.54120879120887</v>
      </c>
      <c r="AI16" s="231">
        <f>+Janvier!AK16</f>
        <v>2963.4615384615386</v>
      </c>
      <c r="AJ16" s="231">
        <f>+Janvier!AL16</f>
        <v>2222.5961538461538</v>
      </c>
      <c r="AK16" s="231">
        <f>+Janvier!AM16</f>
        <v>2222.5961538461538</v>
      </c>
      <c r="AL16" s="231">
        <f>+Janvier!AN16</f>
        <v>1347.0279720279721</v>
      </c>
      <c r="AM16" s="231">
        <f>+Janvier!AO16</f>
        <v>833.47355769230774</v>
      </c>
      <c r="AN16" s="231">
        <f>+Janvier!AP16</f>
        <v>1666.9471153846155</v>
      </c>
      <c r="AO16" s="231">
        <f>+Janvier!AQ16</f>
        <v>833.47355769230774</v>
      </c>
      <c r="AP16" s="231">
        <f>+Janvier!AR16</f>
        <v>833.47355769230774</v>
      </c>
      <c r="AQ16" s="231">
        <f>+Janvier!AS16</f>
        <v>1481.7307692307693</v>
      </c>
      <c r="AR16" s="16">
        <f t="shared" si="20"/>
        <v>0</v>
      </c>
      <c r="AS16" s="16">
        <f t="shared" si="21"/>
        <v>0</v>
      </c>
      <c r="AT16" s="16">
        <f t="shared" si="22"/>
        <v>0</v>
      </c>
      <c r="AU16" s="16">
        <f t="shared" si="23"/>
        <v>0</v>
      </c>
      <c r="AV16" s="16">
        <f t="shared" si="24"/>
        <v>0</v>
      </c>
      <c r="AW16" s="16">
        <f t="shared" si="25"/>
        <v>0</v>
      </c>
      <c r="AX16" s="16">
        <f t="shared" si="26"/>
        <v>0</v>
      </c>
      <c r="AY16" s="16">
        <f t="shared" si="27"/>
        <v>0</v>
      </c>
      <c r="AZ16" s="16">
        <f t="shared" si="28"/>
        <v>0</v>
      </c>
      <c r="BA16" s="17">
        <f t="shared" si="29"/>
        <v>0</v>
      </c>
    </row>
    <row r="17" spans="1:53" x14ac:dyDescent="0.3">
      <c r="A17" s="184" t="s">
        <v>59</v>
      </c>
      <c r="B17" s="127"/>
      <c r="C17" s="243"/>
      <c r="D17" s="130"/>
      <c r="E17" s="129"/>
      <c r="F17" s="169"/>
      <c r="G17" s="246"/>
      <c r="H17" s="171"/>
      <c r="I17" s="172"/>
      <c r="J17" s="130"/>
      <c r="K17" s="129"/>
      <c r="L17" s="128"/>
      <c r="M17" s="130"/>
      <c r="N17" s="129"/>
      <c r="O17" s="128"/>
      <c r="P17" s="130"/>
      <c r="Q17" s="129"/>
      <c r="R17" s="128"/>
      <c r="S17" s="130"/>
      <c r="T17" s="129"/>
      <c r="U17" s="128"/>
      <c r="V17" s="130"/>
      <c r="W17" s="129"/>
      <c r="X17" s="128"/>
      <c r="Y17" s="130"/>
      <c r="Z17" s="129"/>
      <c r="AA17" s="128"/>
      <c r="AB17" s="130"/>
      <c r="AC17" s="129"/>
      <c r="AD17" s="128"/>
      <c r="AE17" s="130"/>
      <c r="AF17" s="129"/>
      <c r="AG17" s="224"/>
      <c r="AH17" s="231">
        <f>+Janvier!AJ17</f>
        <v>506.86813186813191</v>
      </c>
      <c r="AI17" s="231">
        <f>+Janvier!AK17</f>
        <v>1576.9230769230767</v>
      </c>
      <c r="AJ17" s="231">
        <f>+Janvier!AL17</f>
        <v>1182.6923076923076</v>
      </c>
      <c r="AK17" s="231">
        <f>+Janvier!AM17</f>
        <v>1182.6923076923076</v>
      </c>
      <c r="AL17" s="231">
        <f>+Janvier!AN17</f>
        <v>716.78321678321686</v>
      </c>
      <c r="AM17" s="231">
        <f>+Janvier!AO17</f>
        <v>443.50961538461542</v>
      </c>
      <c r="AN17" s="231">
        <f>+Janvier!AP17</f>
        <v>887.01923076923083</v>
      </c>
      <c r="AO17" s="231">
        <f>+Janvier!AQ17</f>
        <v>443.50961538461542</v>
      </c>
      <c r="AP17" s="231">
        <f>+Janvier!AR17</f>
        <v>443.50961538461542</v>
      </c>
      <c r="AQ17" s="231">
        <f>+Janvier!AS17</f>
        <v>788.46153846153834</v>
      </c>
      <c r="AR17" s="16">
        <f t="shared" si="20"/>
        <v>0</v>
      </c>
      <c r="AS17" s="16">
        <f t="shared" si="21"/>
        <v>0</v>
      </c>
      <c r="AT17" s="16">
        <f t="shared" si="22"/>
        <v>0</v>
      </c>
      <c r="AU17" s="16">
        <f t="shared" si="23"/>
        <v>0</v>
      </c>
      <c r="AV17" s="16">
        <f t="shared" si="24"/>
        <v>0</v>
      </c>
      <c r="AW17" s="16">
        <f t="shared" si="25"/>
        <v>0</v>
      </c>
      <c r="AX17" s="16">
        <f t="shared" si="26"/>
        <v>0</v>
      </c>
      <c r="AY17" s="16">
        <f t="shared" si="27"/>
        <v>0</v>
      </c>
      <c r="AZ17" s="16">
        <f t="shared" si="28"/>
        <v>0</v>
      </c>
      <c r="BA17" s="17">
        <f t="shared" si="29"/>
        <v>0</v>
      </c>
    </row>
    <row r="18" spans="1:53" x14ac:dyDescent="0.3">
      <c r="A18" s="184" t="s">
        <v>60</v>
      </c>
      <c r="B18" s="127"/>
      <c r="C18" s="243"/>
      <c r="D18" s="130"/>
      <c r="E18" s="129"/>
      <c r="F18" s="169"/>
      <c r="G18" s="246"/>
      <c r="H18" s="171"/>
      <c r="I18" s="172"/>
      <c r="J18" s="130"/>
      <c r="K18" s="129"/>
      <c r="L18" s="131"/>
      <c r="M18" s="130"/>
      <c r="N18" s="129"/>
      <c r="O18" s="131"/>
      <c r="P18" s="130"/>
      <c r="Q18" s="129"/>
      <c r="R18" s="128"/>
      <c r="S18" s="130"/>
      <c r="T18" s="129"/>
      <c r="U18" s="128"/>
      <c r="V18" s="130"/>
      <c r="W18" s="129"/>
      <c r="X18" s="128"/>
      <c r="Y18" s="130"/>
      <c r="Z18" s="129"/>
      <c r="AA18" s="128"/>
      <c r="AB18" s="130"/>
      <c r="AC18" s="129"/>
      <c r="AD18" s="128"/>
      <c r="AE18" s="130"/>
      <c r="AF18" s="129"/>
      <c r="AG18" s="224"/>
      <c r="AH18" s="231">
        <f>+Janvier!AJ18</f>
        <v>785.76923076923083</v>
      </c>
      <c r="AI18" s="231">
        <f>+Janvier!AK18</f>
        <v>2444.6153846153852</v>
      </c>
      <c r="AJ18" s="231">
        <f>+Janvier!AL18</f>
        <v>1833.4615384615383</v>
      </c>
      <c r="AK18" s="231">
        <f>+Janvier!AM18</f>
        <v>1833.4615384615383</v>
      </c>
      <c r="AL18" s="231">
        <f>+Janvier!AN18</f>
        <v>1111.1888111888113</v>
      </c>
      <c r="AM18" s="231">
        <f>+Janvier!AO18</f>
        <v>687.54807692307713</v>
      </c>
      <c r="AN18" s="231">
        <f>+Janvier!AP18</f>
        <v>1375.0961538461543</v>
      </c>
      <c r="AO18" s="231">
        <f>+Janvier!AQ18</f>
        <v>687.54807692307713</v>
      </c>
      <c r="AP18" s="231">
        <f>+Janvier!AR18</f>
        <v>687.54807692307713</v>
      </c>
      <c r="AQ18" s="231">
        <f>+Janvier!AS18</f>
        <v>1222.3076923076926</v>
      </c>
      <c r="AR18" s="16">
        <f t="shared" si="20"/>
        <v>0</v>
      </c>
      <c r="AS18" s="16">
        <f t="shared" si="21"/>
        <v>0</v>
      </c>
      <c r="AT18" s="16">
        <f t="shared" si="22"/>
        <v>0</v>
      </c>
      <c r="AU18" s="16">
        <f t="shared" si="23"/>
        <v>0</v>
      </c>
      <c r="AV18" s="16">
        <f t="shared" si="24"/>
        <v>0</v>
      </c>
      <c r="AW18" s="16">
        <f t="shared" si="25"/>
        <v>0</v>
      </c>
      <c r="AX18" s="16">
        <f t="shared" si="26"/>
        <v>0</v>
      </c>
      <c r="AY18" s="16">
        <f t="shared" si="27"/>
        <v>0</v>
      </c>
      <c r="AZ18" s="16">
        <f t="shared" si="28"/>
        <v>0</v>
      </c>
      <c r="BA18" s="17">
        <f t="shared" si="29"/>
        <v>0</v>
      </c>
    </row>
    <row r="19" spans="1:53" x14ac:dyDescent="0.3">
      <c r="A19" s="184" t="s">
        <v>61</v>
      </c>
      <c r="B19" s="127"/>
      <c r="C19" s="243"/>
      <c r="D19" s="130"/>
      <c r="E19" s="129"/>
      <c r="F19" s="169"/>
      <c r="G19" s="247"/>
      <c r="H19" s="175"/>
      <c r="I19" s="176"/>
      <c r="J19" s="134"/>
      <c r="K19" s="133"/>
      <c r="L19" s="132"/>
      <c r="M19" s="134"/>
      <c r="N19" s="133"/>
      <c r="O19" s="132"/>
      <c r="P19" s="134"/>
      <c r="Q19" s="133"/>
      <c r="R19" s="132"/>
      <c r="S19" s="134"/>
      <c r="T19" s="133"/>
      <c r="U19" s="132"/>
      <c r="V19" s="134"/>
      <c r="W19" s="133"/>
      <c r="X19" s="132"/>
      <c r="Y19" s="134"/>
      <c r="Z19" s="133"/>
      <c r="AA19" s="132"/>
      <c r="AB19" s="134"/>
      <c r="AC19" s="133"/>
      <c r="AD19" s="132"/>
      <c r="AE19" s="134"/>
      <c r="AF19" s="133"/>
      <c r="AG19" s="225"/>
      <c r="AH19" s="231">
        <f>+Janvier!AJ19</f>
        <v>309.43681318681325</v>
      </c>
      <c r="AI19" s="231">
        <f>+Janvier!AK19</f>
        <v>962.69230769230785</v>
      </c>
      <c r="AJ19" s="231">
        <f>+Janvier!AL19</f>
        <v>722.01923076923083</v>
      </c>
      <c r="AK19" s="231">
        <f>+Janvier!AM19</f>
        <v>722.01923076923083</v>
      </c>
      <c r="AL19" s="231">
        <f>+Janvier!AN19</f>
        <v>437.5874125874127</v>
      </c>
      <c r="AM19" s="231">
        <f>+Janvier!AO19</f>
        <v>270.75721153846155</v>
      </c>
      <c r="AN19" s="231">
        <f>+Janvier!AP19</f>
        <v>541.51442307692309</v>
      </c>
      <c r="AO19" s="231">
        <f>+Janvier!AQ19</f>
        <v>270.75721153846155</v>
      </c>
      <c r="AP19" s="231">
        <f>+Janvier!AR19</f>
        <v>270.75721153846155</v>
      </c>
      <c r="AQ19" s="231">
        <f>+Janvier!AS19</f>
        <v>481.34615384615392</v>
      </c>
      <c r="AR19" s="16">
        <f t="shared" si="20"/>
        <v>0</v>
      </c>
      <c r="AS19" s="16">
        <f t="shared" si="21"/>
        <v>0</v>
      </c>
      <c r="AT19" s="16">
        <f t="shared" si="22"/>
        <v>0</v>
      </c>
      <c r="AU19" s="16">
        <f t="shared" si="23"/>
        <v>0</v>
      </c>
      <c r="AV19" s="16">
        <f t="shared" si="24"/>
        <v>0</v>
      </c>
      <c r="AW19" s="16">
        <f t="shared" si="25"/>
        <v>0</v>
      </c>
      <c r="AX19" s="16">
        <f t="shared" si="26"/>
        <v>0</v>
      </c>
      <c r="AY19" s="16">
        <f t="shared" si="27"/>
        <v>0</v>
      </c>
      <c r="AZ19" s="16">
        <f t="shared" si="28"/>
        <v>0</v>
      </c>
      <c r="BA19" s="17">
        <f t="shared" si="29"/>
        <v>0</v>
      </c>
    </row>
    <row r="20" spans="1:53" ht="15" thickBot="1" x14ac:dyDescent="0.35">
      <c r="A20" s="121" t="s">
        <v>62</v>
      </c>
      <c r="B20" s="156"/>
      <c r="C20" s="244"/>
      <c r="D20" s="159"/>
      <c r="E20" s="158"/>
      <c r="F20" s="177"/>
      <c r="G20" s="248"/>
      <c r="H20" s="179"/>
      <c r="I20" s="180"/>
      <c r="J20" s="159"/>
      <c r="K20" s="158"/>
      <c r="L20" s="157"/>
      <c r="M20" s="159"/>
      <c r="N20" s="158"/>
      <c r="O20" s="157"/>
      <c r="P20" s="159"/>
      <c r="Q20" s="158"/>
      <c r="R20" s="157"/>
      <c r="S20" s="159"/>
      <c r="T20" s="158"/>
      <c r="U20" s="157"/>
      <c r="V20" s="159"/>
      <c r="W20" s="158"/>
      <c r="X20" s="157"/>
      <c r="Y20" s="159"/>
      <c r="Z20" s="158"/>
      <c r="AA20" s="157"/>
      <c r="AB20" s="159"/>
      <c r="AC20" s="158"/>
      <c r="AD20" s="157"/>
      <c r="AE20" s="159"/>
      <c r="AF20" s="158"/>
      <c r="AG20" s="226"/>
      <c r="AH20" s="231">
        <f>+Janvier!AJ20</f>
        <v>485.2335164835165</v>
      </c>
      <c r="AI20" s="231">
        <f>+Janvier!AK20</f>
        <v>1509.6153846153845</v>
      </c>
      <c r="AJ20" s="231">
        <f>+Janvier!AL20</f>
        <v>1132.2115384615383</v>
      </c>
      <c r="AK20" s="231">
        <f>+Janvier!AM20</f>
        <v>1132.2115384615383</v>
      </c>
      <c r="AL20" s="231">
        <f>+Janvier!AN20</f>
        <v>686.1888111888112</v>
      </c>
      <c r="AM20" s="231">
        <f>+Janvier!AO20</f>
        <v>424.57932692307691</v>
      </c>
      <c r="AN20" s="231">
        <f>+Janvier!AP20</f>
        <v>849.15865384615381</v>
      </c>
      <c r="AO20" s="231">
        <f>+Janvier!AQ20</f>
        <v>424.57932692307691</v>
      </c>
      <c r="AP20" s="231">
        <f>+Janvier!AR20</f>
        <v>424.57932692307691</v>
      </c>
      <c r="AQ20" s="231">
        <f>+Janvier!AS20</f>
        <v>754.80769230769226</v>
      </c>
      <c r="AR20" s="32">
        <f t="shared" si="20"/>
        <v>0</v>
      </c>
      <c r="AS20" s="32">
        <f t="shared" si="21"/>
        <v>0</v>
      </c>
      <c r="AT20" s="32">
        <f t="shared" si="22"/>
        <v>0</v>
      </c>
      <c r="AU20" s="32">
        <f t="shared" si="23"/>
        <v>0</v>
      </c>
      <c r="AV20" s="32">
        <f t="shared" si="24"/>
        <v>0</v>
      </c>
      <c r="AW20" s="32">
        <f t="shared" si="25"/>
        <v>0</v>
      </c>
      <c r="AX20" s="32">
        <f t="shared" si="26"/>
        <v>0</v>
      </c>
      <c r="AY20" s="32">
        <f t="shared" si="27"/>
        <v>0</v>
      </c>
      <c r="AZ20" s="32">
        <f t="shared" si="28"/>
        <v>0</v>
      </c>
      <c r="BA20" s="33">
        <f t="shared" si="29"/>
        <v>0</v>
      </c>
    </row>
    <row r="21" spans="1:53" x14ac:dyDescent="0.3">
      <c r="A21" s="140" t="s">
        <v>91</v>
      </c>
      <c r="B21" s="160"/>
      <c r="C21" s="160"/>
      <c r="D21" s="252"/>
      <c r="E21" s="149"/>
      <c r="F21" s="150"/>
      <c r="G21" s="125"/>
      <c r="H21" s="123"/>
      <c r="I21" s="126"/>
      <c r="J21" s="125"/>
      <c r="K21" s="123"/>
      <c r="L21" s="124"/>
      <c r="M21" s="125"/>
      <c r="N21" s="123"/>
      <c r="O21" s="124"/>
      <c r="P21" s="125"/>
      <c r="Q21" s="123"/>
      <c r="R21" s="124"/>
      <c r="S21" s="125"/>
      <c r="T21" s="123"/>
      <c r="U21" s="124"/>
      <c r="V21" s="125"/>
      <c r="W21" s="123"/>
      <c r="X21" s="124"/>
      <c r="Y21" s="125"/>
      <c r="Z21" s="114"/>
      <c r="AA21" s="115"/>
      <c r="AB21" s="113"/>
      <c r="AC21" s="123"/>
      <c r="AD21" s="124"/>
      <c r="AE21" s="125"/>
      <c r="AF21" s="123"/>
      <c r="AG21" s="126"/>
      <c r="AH21" s="231">
        <f>+Janvier!AJ21</f>
        <v>46732.578750000001</v>
      </c>
      <c r="AI21" s="231">
        <f>+Janvier!AK21</f>
        <v>160746.05769230769</v>
      </c>
      <c r="AJ21" s="231">
        <f>+Janvier!AL21</f>
        <v>107056.87442307695</v>
      </c>
      <c r="AK21" s="231">
        <f>+Janvier!AM21</f>
        <v>107056.87442307695</v>
      </c>
      <c r="AL21" s="231">
        <f>+Janvier!AN21</f>
        <v>67513.344230769231</v>
      </c>
      <c r="AM21" s="231">
        <f>+Janvier!AO21</f>
        <v>40186.514423076922</v>
      </c>
      <c r="AN21" s="231">
        <f>+Janvier!AP21</f>
        <v>80373.028846153844</v>
      </c>
      <c r="AO21" s="231">
        <f>+Janvier!AQ21</f>
        <v>40186.514423076922</v>
      </c>
      <c r="AP21" s="231">
        <f>+Janvier!AR21</f>
        <v>40186.514423076922</v>
      </c>
      <c r="AQ21" s="231">
        <f>+Janvier!AS21</f>
        <v>72549.877500000002</v>
      </c>
      <c r="AR21" s="90">
        <f>ROUND(E21/(AH21/15),0)</f>
        <v>0</v>
      </c>
      <c r="AS21" s="90">
        <f t="shared" ref="AS21" si="30">ROUND(H21/(AI21/15),0)</f>
        <v>0</v>
      </c>
      <c r="AT21" s="90">
        <f t="shared" ref="AT21" si="31">ROUND(K21/(AJ21/15),0)</f>
        <v>0</v>
      </c>
      <c r="AU21" s="90">
        <f t="shared" ref="AU21" si="32">ROUND(N21/(AK21/15),0)</f>
        <v>0</v>
      </c>
      <c r="AV21" s="90">
        <f t="shared" ref="AV21" si="33">ROUND(Q21/(AL21/15),0)</f>
        <v>0</v>
      </c>
      <c r="AW21" s="90">
        <f t="shared" ref="AW21" si="34">ROUND(T21/(AM21/15),0)</f>
        <v>0</v>
      </c>
      <c r="AX21" s="90">
        <f t="shared" ref="AX21" si="35">ROUND(W21/(AN21/15),0)</f>
        <v>0</v>
      </c>
      <c r="AY21" s="90">
        <f t="shared" ref="AY21" si="36">ROUND(Z21/(AO21/15),0)</f>
        <v>0</v>
      </c>
      <c r="AZ21" s="90">
        <f t="shared" ref="AZ21" si="37">ROUND(AC21/(AP21/15),0)</f>
        <v>0</v>
      </c>
      <c r="BA21" s="91">
        <f t="shared" ref="BA21" si="38">ROUND(AF21/(AQ21/15),0)</f>
        <v>0</v>
      </c>
    </row>
    <row r="22" spans="1:53" x14ac:dyDescent="0.3">
      <c r="A22" s="184" t="s">
        <v>14</v>
      </c>
      <c r="B22" s="94"/>
      <c r="C22" s="94"/>
      <c r="D22" s="104"/>
      <c r="E22" s="96"/>
      <c r="F22" s="97"/>
      <c r="G22" s="95"/>
      <c r="H22" s="96"/>
      <c r="I22" s="105"/>
      <c r="J22" s="95"/>
      <c r="K22" s="96"/>
      <c r="L22" s="97"/>
      <c r="M22" s="95"/>
      <c r="N22" s="96"/>
      <c r="O22" s="97"/>
      <c r="P22" s="95"/>
      <c r="Q22" s="96"/>
      <c r="R22" s="97"/>
      <c r="S22" s="95"/>
      <c r="T22" s="96"/>
      <c r="U22" s="97"/>
      <c r="V22" s="95"/>
      <c r="W22" s="96"/>
      <c r="X22" s="97"/>
      <c r="Y22" s="95"/>
      <c r="Z22" s="96"/>
      <c r="AA22" s="100"/>
      <c r="AB22" s="95"/>
      <c r="AC22" s="96"/>
      <c r="AD22" s="97"/>
      <c r="AE22" s="95"/>
      <c r="AF22" s="96"/>
      <c r="AG22" s="105"/>
      <c r="AH22" s="231">
        <f>+Janvier!AJ22</f>
        <v>1770.3296703296703</v>
      </c>
      <c r="AI22" s="231">
        <f>+Janvier!AK22</f>
        <v>5507.6923076923067</v>
      </c>
      <c r="AJ22" s="231">
        <f>+Janvier!AL22</f>
        <v>4130.7692307692305</v>
      </c>
      <c r="AK22" s="231">
        <f>+Janvier!AM22</f>
        <v>4130.7692307692305</v>
      </c>
      <c r="AL22" s="231">
        <f>+Janvier!AN22</f>
        <v>2503.4965034965039</v>
      </c>
      <c r="AM22" s="231">
        <f>+Janvier!AO22</f>
        <v>1549.0384615384617</v>
      </c>
      <c r="AN22" s="231">
        <f>+Janvier!AP22</f>
        <v>3098.0769230769233</v>
      </c>
      <c r="AO22" s="231">
        <f>+Janvier!AQ22</f>
        <v>1549.0384615384617</v>
      </c>
      <c r="AP22" s="231">
        <f>+Janvier!AR22</f>
        <v>1549.0384615384617</v>
      </c>
      <c r="AQ22" s="231">
        <f>+Janvier!AS22</f>
        <v>2753.8461538461534</v>
      </c>
      <c r="AR22" s="90">
        <f t="shared" ref="AR22:AR29" si="39">ROUND(E22/(AH22/5),0)</f>
        <v>0</v>
      </c>
      <c r="AS22" s="90">
        <f t="shared" ref="AS22:AS29" si="40">ROUND(H22/(AI22/5),0)</f>
        <v>0</v>
      </c>
      <c r="AT22" s="90">
        <f t="shared" ref="AT22:AT29" si="41">ROUND(K22/(AJ22/5),0)</f>
        <v>0</v>
      </c>
      <c r="AU22" s="90">
        <f t="shared" ref="AU22:AU29" si="42">ROUND(N22/(AK22/5),0)</f>
        <v>0</v>
      </c>
      <c r="AV22" s="90">
        <f t="shared" ref="AV22:AV29" si="43">ROUND(Q22/(AL22/5),0)</f>
        <v>0</v>
      </c>
      <c r="AW22" s="90">
        <f t="shared" ref="AW22:AW29" si="44">ROUND(T22/(AM22/5),0)</f>
        <v>0</v>
      </c>
      <c r="AX22" s="90">
        <f t="shared" ref="AX22" si="45">ROUND(W22/(AN22/5),0)</f>
        <v>0</v>
      </c>
      <c r="AY22" s="90">
        <f t="shared" ref="AY22:AY29" si="46">ROUND(Z22/(AO22/5),0)</f>
        <v>0</v>
      </c>
      <c r="AZ22" s="90">
        <f t="shared" ref="AZ22:AZ29" si="47">ROUND(AC22/(AP22/5),0)</f>
        <v>0</v>
      </c>
      <c r="BA22" s="91">
        <f t="shared" ref="BA22:BA29" si="48">ROUND(AF22/(AQ22/5),0)</f>
        <v>0</v>
      </c>
    </row>
    <row r="23" spans="1:53" x14ac:dyDescent="0.3">
      <c r="A23" s="184" t="s">
        <v>15</v>
      </c>
      <c r="B23" s="94"/>
      <c r="C23" s="94"/>
      <c r="D23" s="104"/>
      <c r="E23" s="96"/>
      <c r="F23" s="97"/>
      <c r="G23" s="95"/>
      <c r="H23" s="96"/>
      <c r="I23" s="105"/>
      <c r="J23" s="95"/>
      <c r="K23" s="96"/>
      <c r="L23" s="97"/>
      <c r="M23" s="95"/>
      <c r="N23" s="96"/>
      <c r="O23" s="97"/>
      <c r="P23" s="95"/>
      <c r="Q23" s="96"/>
      <c r="R23" s="97"/>
      <c r="S23" s="95"/>
      <c r="T23" s="96"/>
      <c r="U23" s="97"/>
      <c r="V23" s="95"/>
      <c r="W23" s="96"/>
      <c r="X23" s="97"/>
      <c r="Y23" s="95"/>
      <c r="Z23" s="96"/>
      <c r="AA23" s="100"/>
      <c r="AB23" s="95"/>
      <c r="AC23" s="96"/>
      <c r="AD23" s="97"/>
      <c r="AE23" s="95"/>
      <c r="AF23" s="96"/>
      <c r="AG23" s="105"/>
      <c r="AH23" s="231">
        <f>+Janvier!AJ23</f>
        <v>768.21428571428578</v>
      </c>
      <c r="AI23" s="231">
        <f>+Janvier!AK23</f>
        <v>2390.0000000000005</v>
      </c>
      <c r="AJ23" s="231">
        <f>+Janvier!AL23</f>
        <v>1792.5000000000002</v>
      </c>
      <c r="AK23" s="231">
        <f>+Janvier!AM23</f>
        <v>1792.5000000000002</v>
      </c>
      <c r="AL23" s="231">
        <f>+Janvier!AN23</f>
        <v>1086.3636363636365</v>
      </c>
      <c r="AM23" s="231">
        <f>+Janvier!AO23</f>
        <v>672.1875</v>
      </c>
      <c r="AN23" s="231">
        <f>+Janvier!AP23</f>
        <v>1344.375</v>
      </c>
      <c r="AO23" s="231">
        <f>+Janvier!AQ23</f>
        <v>672.1875</v>
      </c>
      <c r="AP23" s="231">
        <f>+Janvier!AR23</f>
        <v>672.1875</v>
      </c>
      <c r="AQ23" s="231">
        <f>+Janvier!AS23</f>
        <v>1195.0000000000002</v>
      </c>
      <c r="AR23" s="90">
        <f t="shared" si="39"/>
        <v>0</v>
      </c>
      <c r="AS23" s="90">
        <f t="shared" si="40"/>
        <v>0</v>
      </c>
      <c r="AT23" s="90">
        <f t="shared" si="41"/>
        <v>0</v>
      </c>
      <c r="AU23" s="90">
        <f t="shared" si="42"/>
        <v>0</v>
      </c>
      <c r="AV23" s="90">
        <f t="shared" si="43"/>
        <v>0</v>
      </c>
      <c r="AW23" s="90">
        <f t="shared" si="44"/>
        <v>0</v>
      </c>
      <c r="AX23" s="90">
        <f>ROUND(W23/(AN23/5),0)</f>
        <v>0</v>
      </c>
      <c r="AY23" s="90">
        <f t="shared" si="46"/>
        <v>0</v>
      </c>
      <c r="AZ23" s="90">
        <f t="shared" si="47"/>
        <v>0</v>
      </c>
      <c r="BA23" s="91">
        <f t="shared" si="48"/>
        <v>0</v>
      </c>
    </row>
    <row r="24" spans="1:53" ht="14.25" customHeight="1" x14ac:dyDescent="0.3">
      <c r="A24" s="184" t="s">
        <v>16</v>
      </c>
      <c r="B24" s="94"/>
      <c r="C24" s="94"/>
      <c r="D24" s="104"/>
      <c r="E24" s="96"/>
      <c r="F24" s="97"/>
      <c r="G24" s="95"/>
      <c r="H24" s="96"/>
      <c r="I24" s="105"/>
      <c r="J24" s="95"/>
      <c r="K24" s="96"/>
      <c r="L24" s="97"/>
      <c r="M24" s="95"/>
      <c r="N24" s="96"/>
      <c r="O24" s="97"/>
      <c r="P24" s="95"/>
      <c r="Q24" s="96"/>
      <c r="R24" s="97"/>
      <c r="S24" s="95"/>
      <c r="T24" s="96"/>
      <c r="U24" s="97"/>
      <c r="V24" s="95"/>
      <c r="W24" s="96"/>
      <c r="X24" s="97"/>
      <c r="Y24" s="95"/>
      <c r="Z24" s="96"/>
      <c r="AA24" s="100"/>
      <c r="AB24" s="95"/>
      <c r="AC24" s="96"/>
      <c r="AD24" s="97"/>
      <c r="AE24" s="95"/>
      <c r="AF24" s="96"/>
      <c r="AG24" s="105"/>
      <c r="AH24" s="231">
        <f>+Janvier!AJ24</f>
        <v>3452.1428571428573</v>
      </c>
      <c r="AI24" s="231">
        <f>+Janvier!AK24</f>
        <v>10740.000000000002</v>
      </c>
      <c r="AJ24" s="231">
        <f>+Janvier!AL24</f>
        <v>8055</v>
      </c>
      <c r="AK24" s="231">
        <f>+Janvier!AM24</f>
        <v>8055</v>
      </c>
      <c r="AL24" s="231">
        <f>+Janvier!AN24</f>
        <v>4881.818181818182</v>
      </c>
      <c r="AM24" s="231">
        <f>+Janvier!AO24</f>
        <v>3020.6250000000005</v>
      </c>
      <c r="AN24" s="231">
        <f>+Janvier!AP24</f>
        <v>6041.2500000000009</v>
      </c>
      <c r="AO24" s="231">
        <f>+Janvier!AQ24</f>
        <v>3020.6250000000005</v>
      </c>
      <c r="AP24" s="231">
        <f>+Janvier!AR24</f>
        <v>3020.6250000000005</v>
      </c>
      <c r="AQ24" s="231">
        <f>+Janvier!AS24</f>
        <v>5370.0000000000009</v>
      </c>
      <c r="AR24" s="90">
        <f t="shared" si="39"/>
        <v>0</v>
      </c>
      <c r="AS24" s="90">
        <f t="shared" si="40"/>
        <v>0</v>
      </c>
      <c r="AT24" s="90">
        <f t="shared" si="41"/>
        <v>0</v>
      </c>
      <c r="AU24" s="90">
        <f t="shared" si="42"/>
        <v>0</v>
      </c>
      <c r="AV24" s="90">
        <f t="shared" si="43"/>
        <v>0</v>
      </c>
      <c r="AW24" s="90">
        <f>ROUND(T24/(AM24/5),0)</f>
        <v>0</v>
      </c>
      <c r="AX24" s="90">
        <f t="shared" ref="AX24:AX29" si="49">ROUND(W24/(AN24/5),0)</f>
        <v>0</v>
      </c>
      <c r="AY24" s="90">
        <f t="shared" si="46"/>
        <v>0</v>
      </c>
      <c r="AZ24" s="90">
        <f t="shared" si="47"/>
        <v>0</v>
      </c>
      <c r="BA24" s="91">
        <f t="shared" si="48"/>
        <v>0</v>
      </c>
    </row>
    <row r="25" spans="1:53" ht="14.25" customHeight="1" x14ac:dyDescent="0.3">
      <c r="A25" s="184" t="s">
        <v>17</v>
      </c>
      <c r="B25" s="94"/>
      <c r="C25" s="94"/>
      <c r="D25" s="104"/>
      <c r="E25" s="96"/>
      <c r="F25" s="97"/>
      <c r="G25" s="95"/>
      <c r="H25" s="96"/>
      <c r="I25" s="105"/>
      <c r="J25" s="95"/>
      <c r="K25" s="96"/>
      <c r="L25" s="97"/>
      <c r="M25" s="95"/>
      <c r="N25" s="96"/>
      <c r="O25" s="97"/>
      <c r="P25" s="95"/>
      <c r="Q25" s="96"/>
      <c r="R25" s="97"/>
      <c r="S25" s="95"/>
      <c r="T25" s="96"/>
      <c r="U25" s="97"/>
      <c r="V25" s="95"/>
      <c r="W25" s="96"/>
      <c r="X25" s="97"/>
      <c r="Y25" s="95"/>
      <c r="Z25" s="96"/>
      <c r="AA25" s="100"/>
      <c r="AB25" s="95"/>
      <c r="AC25" s="96"/>
      <c r="AD25" s="97"/>
      <c r="AE25" s="95"/>
      <c r="AF25" s="96"/>
      <c r="AG25" s="105"/>
      <c r="AH25" s="231">
        <f>+Janvier!AJ25</f>
        <v>3638.3241758241757</v>
      </c>
      <c r="AI25" s="231">
        <f>+Janvier!AK25</f>
        <v>11319.23076923077</v>
      </c>
      <c r="AJ25" s="231">
        <f>+Janvier!AL25</f>
        <v>8489.423076923078</v>
      </c>
      <c r="AK25" s="231">
        <f>+Janvier!AM25</f>
        <v>8489.423076923078</v>
      </c>
      <c r="AL25" s="231">
        <f>+Janvier!AN25</f>
        <v>5145.1048951048951</v>
      </c>
      <c r="AM25" s="231">
        <f>+Janvier!AO25</f>
        <v>3183.5336538461534</v>
      </c>
      <c r="AN25" s="231">
        <f>+Janvier!AP25</f>
        <v>6367.0673076923067</v>
      </c>
      <c r="AO25" s="231">
        <f>+Janvier!AQ25</f>
        <v>3183.5336538461534</v>
      </c>
      <c r="AP25" s="231">
        <f>+Janvier!AR25</f>
        <v>3183.5336538461534</v>
      </c>
      <c r="AQ25" s="231">
        <f>+Janvier!AS25</f>
        <v>5659.6153846153848</v>
      </c>
      <c r="AR25" s="90">
        <f t="shared" si="39"/>
        <v>0</v>
      </c>
      <c r="AS25" s="90">
        <f t="shared" si="40"/>
        <v>0</v>
      </c>
      <c r="AT25" s="90">
        <f t="shared" si="41"/>
        <v>0</v>
      </c>
      <c r="AU25" s="90">
        <f t="shared" si="42"/>
        <v>0</v>
      </c>
      <c r="AV25" s="90">
        <f>ROUND(Q25/(AL25/5),0)</f>
        <v>0</v>
      </c>
      <c r="AW25" s="90">
        <f t="shared" si="44"/>
        <v>0</v>
      </c>
      <c r="AX25" s="90">
        <f t="shared" si="49"/>
        <v>0</v>
      </c>
      <c r="AY25" s="90">
        <f t="shared" si="46"/>
        <v>0</v>
      </c>
      <c r="AZ25" s="90">
        <f t="shared" si="47"/>
        <v>0</v>
      </c>
      <c r="BA25" s="91">
        <f t="shared" si="48"/>
        <v>0</v>
      </c>
    </row>
    <row r="26" spans="1:53" ht="14.25" customHeight="1" x14ac:dyDescent="0.3">
      <c r="A26" s="184" t="s">
        <v>18</v>
      </c>
      <c r="B26" s="94"/>
      <c r="C26" s="94"/>
      <c r="D26" s="104"/>
      <c r="E26" s="96"/>
      <c r="F26" s="97"/>
      <c r="G26" s="95"/>
      <c r="H26" s="96"/>
      <c r="I26" s="105"/>
      <c r="J26" s="95"/>
      <c r="K26" s="96"/>
      <c r="L26" s="97"/>
      <c r="M26" s="95"/>
      <c r="N26" s="96"/>
      <c r="O26" s="97"/>
      <c r="P26" s="95"/>
      <c r="Q26" s="96"/>
      <c r="R26" s="97"/>
      <c r="S26" s="95"/>
      <c r="T26" s="96"/>
      <c r="U26" s="97"/>
      <c r="V26" s="95"/>
      <c r="W26" s="96"/>
      <c r="X26" s="97"/>
      <c r="Y26" s="95"/>
      <c r="Z26" s="96"/>
      <c r="AA26" s="100"/>
      <c r="AB26" s="95"/>
      <c r="AC26" s="96"/>
      <c r="AD26" s="97"/>
      <c r="AE26" s="95"/>
      <c r="AF26" s="96"/>
      <c r="AG26" s="105"/>
      <c r="AH26" s="231">
        <f>+Janvier!AJ26</f>
        <v>723.70879120879124</v>
      </c>
      <c r="AI26" s="231">
        <f>+Janvier!AK26</f>
        <v>2251.5384615384619</v>
      </c>
      <c r="AJ26" s="231">
        <f>+Janvier!AL26</f>
        <v>1688.6538461538464</v>
      </c>
      <c r="AK26" s="231">
        <f>+Janvier!AM26</f>
        <v>1688.6538461538464</v>
      </c>
      <c r="AL26" s="231">
        <f>+Janvier!AN26</f>
        <v>1023.4265734265737</v>
      </c>
      <c r="AM26" s="231">
        <f>+Janvier!AO26</f>
        <v>633.24519230769238</v>
      </c>
      <c r="AN26" s="231">
        <f>+Janvier!AP26</f>
        <v>1266.4903846153848</v>
      </c>
      <c r="AO26" s="231">
        <f>+Janvier!AQ26</f>
        <v>633.24519230769238</v>
      </c>
      <c r="AP26" s="231">
        <f>+Janvier!AR26</f>
        <v>633.24519230769238</v>
      </c>
      <c r="AQ26" s="231">
        <f>+Janvier!AS26</f>
        <v>1125.7692307692309</v>
      </c>
      <c r="AR26" s="90">
        <f t="shared" si="39"/>
        <v>0</v>
      </c>
      <c r="AS26" s="90">
        <f t="shared" si="40"/>
        <v>0</v>
      </c>
      <c r="AT26" s="90">
        <f t="shared" si="41"/>
        <v>0</v>
      </c>
      <c r="AU26" s="90">
        <f t="shared" si="42"/>
        <v>0</v>
      </c>
      <c r="AV26" s="90">
        <f t="shared" si="43"/>
        <v>0</v>
      </c>
      <c r="AW26" s="90">
        <f t="shared" si="44"/>
        <v>0</v>
      </c>
      <c r="AX26" s="90">
        <f t="shared" si="49"/>
        <v>0</v>
      </c>
      <c r="AY26" s="90">
        <f t="shared" si="46"/>
        <v>0</v>
      </c>
      <c r="AZ26" s="90">
        <f t="shared" si="47"/>
        <v>0</v>
      </c>
      <c r="BA26" s="91">
        <f t="shared" si="48"/>
        <v>0</v>
      </c>
    </row>
    <row r="27" spans="1:53" ht="14.25" customHeight="1" x14ac:dyDescent="0.3">
      <c r="A27" s="184" t="s">
        <v>19</v>
      </c>
      <c r="B27" s="94"/>
      <c r="C27" s="94"/>
      <c r="D27" s="104"/>
      <c r="E27" s="96"/>
      <c r="F27" s="97"/>
      <c r="G27" s="95"/>
      <c r="H27" s="96"/>
      <c r="I27" s="105"/>
      <c r="J27" s="95"/>
      <c r="K27" s="96"/>
      <c r="L27" s="97"/>
      <c r="M27" s="95"/>
      <c r="N27" s="96"/>
      <c r="O27" s="97"/>
      <c r="P27" s="95"/>
      <c r="Q27" s="96"/>
      <c r="R27" s="97"/>
      <c r="S27" s="95"/>
      <c r="T27" s="96"/>
      <c r="U27" s="97"/>
      <c r="V27" s="95"/>
      <c r="W27" s="96"/>
      <c r="X27" s="97"/>
      <c r="Y27" s="95"/>
      <c r="Z27" s="96"/>
      <c r="AA27" s="100"/>
      <c r="AB27" s="95"/>
      <c r="AC27" s="96"/>
      <c r="AD27" s="97"/>
      <c r="AE27" s="95"/>
      <c r="AF27" s="96"/>
      <c r="AG27" s="105"/>
      <c r="AH27" s="231">
        <f>+Janvier!AJ27</f>
        <v>1833.75</v>
      </c>
      <c r="AI27" s="231">
        <f>+Janvier!AK27</f>
        <v>5705.0000000000009</v>
      </c>
      <c r="AJ27" s="231">
        <f>+Janvier!AL27</f>
        <v>4278.7500000000009</v>
      </c>
      <c r="AK27" s="231">
        <f>+Janvier!AM27</f>
        <v>4278.7500000000009</v>
      </c>
      <c r="AL27" s="231">
        <f>+Janvier!AN27</f>
        <v>2593.1818181818189</v>
      </c>
      <c r="AM27" s="231">
        <f>+Janvier!AO27</f>
        <v>1604.53125</v>
      </c>
      <c r="AN27" s="231">
        <f>+Janvier!AP27</f>
        <v>3209.0625</v>
      </c>
      <c r="AO27" s="231">
        <f>+Janvier!AQ27</f>
        <v>1604.53125</v>
      </c>
      <c r="AP27" s="231">
        <f>+Janvier!AR27</f>
        <v>1604.53125</v>
      </c>
      <c r="AQ27" s="231">
        <f>+Janvier!AS27</f>
        <v>2852.5000000000005</v>
      </c>
      <c r="AR27" s="90">
        <f t="shared" si="39"/>
        <v>0</v>
      </c>
      <c r="AS27" s="90">
        <f t="shared" si="40"/>
        <v>0</v>
      </c>
      <c r="AT27" s="90">
        <f t="shared" si="41"/>
        <v>0</v>
      </c>
      <c r="AU27" s="90">
        <f t="shared" si="42"/>
        <v>0</v>
      </c>
      <c r="AV27" s="90">
        <f t="shared" si="43"/>
        <v>0</v>
      </c>
      <c r="AW27" s="90">
        <f t="shared" si="44"/>
        <v>0</v>
      </c>
      <c r="AX27" s="90">
        <f t="shared" si="49"/>
        <v>0</v>
      </c>
      <c r="AY27" s="90">
        <f t="shared" si="46"/>
        <v>0</v>
      </c>
      <c r="AZ27" s="90">
        <f t="shared" si="47"/>
        <v>0</v>
      </c>
      <c r="BA27" s="91">
        <f t="shared" si="48"/>
        <v>0</v>
      </c>
    </row>
    <row r="28" spans="1:53" ht="14.25" customHeight="1" x14ac:dyDescent="0.3">
      <c r="A28" s="184" t="s">
        <v>20</v>
      </c>
      <c r="B28" s="94"/>
      <c r="C28" s="94"/>
      <c r="D28" s="104"/>
      <c r="E28" s="96"/>
      <c r="F28" s="97"/>
      <c r="G28" s="95"/>
      <c r="H28" s="96"/>
      <c r="I28" s="105"/>
      <c r="J28" s="95"/>
      <c r="K28" s="96"/>
      <c r="L28" s="97"/>
      <c r="M28" s="95"/>
      <c r="N28" s="96"/>
      <c r="O28" s="97"/>
      <c r="P28" s="95"/>
      <c r="Q28" s="96"/>
      <c r="R28" s="97"/>
      <c r="S28" s="95"/>
      <c r="T28" s="96"/>
      <c r="U28" s="97"/>
      <c r="V28" s="95"/>
      <c r="W28" s="96"/>
      <c r="X28" s="97"/>
      <c r="Y28" s="95"/>
      <c r="Z28" s="96"/>
      <c r="AA28" s="100"/>
      <c r="AB28" s="95"/>
      <c r="AC28" s="96"/>
      <c r="AD28" s="97"/>
      <c r="AE28" s="95"/>
      <c r="AF28" s="96"/>
      <c r="AG28" s="105"/>
      <c r="AH28" s="231">
        <f>+Janvier!AJ28</f>
        <v>1230.2060439560439</v>
      </c>
      <c r="AI28" s="231">
        <f>+Janvier!AK28</f>
        <v>3827.3076923076924</v>
      </c>
      <c r="AJ28" s="231">
        <f>+Janvier!AL28</f>
        <v>2870.4807692307691</v>
      </c>
      <c r="AK28" s="231">
        <f>+Janvier!AM28</f>
        <v>2870.4807692307691</v>
      </c>
      <c r="AL28" s="231">
        <f>+Janvier!AN28</f>
        <v>1739.6853146853146</v>
      </c>
      <c r="AM28" s="231">
        <f>+Janvier!AO28</f>
        <v>1076.4302884615383</v>
      </c>
      <c r="AN28" s="231">
        <f>+Janvier!AP28</f>
        <v>2152.8605769230767</v>
      </c>
      <c r="AO28" s="231">
        <f>+Janvier!AQ28</f>
        <v>1076.4302884615383</v>
      </c>
      <c r="AP28" s="231">
        <f>+Janvier!AR28</f>
        <v>1076.4302884615383</v>
      </c>
      <c r="AQ28" s="231">
        <f>+Janvier!AS28</f>
        <v>1913.6538461538462</v>
      </c>
      <c r="AR28" s="90">
        <f t="shared" si="39"/>
        <v>0</v>
      </c>
      <c r="AS28" s="90">
        <f t="shared" si="40"/>
        <v>0</v>
      </c>
      <c r="AT28" s="90">
        <f t="shared" si="41"/>
        <v>0</v>
      </c>
      <c r="AU28" s="90">
        <f t="shared" si="42"/>
        <v>0</v>
      </c>
      <c r="AV28" s="90">
        <f t="shared" si="43"/>
        <v>0</v>
      </c>
      <c r="AW28" s="90">
        <f t="shared" si="44"/>
        <v>0</v>
      </c>
      <c r="AX28" s="90">
        <f t="shared" si="49"/>
        <v>0</v>
      </c>
      <c r="AY28" s="90">
        <f t="shared" si="46"/>
        <v>0</v>
      </c>
      <c r="AZ28" s="90">
        <f t="shared" si="47"/>
        <v>0</v>
      </c>
      <c r="BA28" s="91">
        <f t="shared" si="48"/>
        <v>0</v>
      </c>
    </row>
    <row r="29" spans="1:53" ht="15" thickBot="1" x14ac:dyDescent="0.35">
      <c r="A29" s="121" t="s">
        <v>79</v>
      </c>
      <c r="B29" s="143"/>
      <c r="C29" s="143"/>
      <c r="D29" s="161"/>
      <c r="E29" s="109"/>
      <c r="F29" s="110"/>
      <c r="G29" s="111"/>
      <c r="H29" s="109"/>
      <c r="I29" s="112"/>
      <c r="J29" s="111"/>
      <c r="K29" s="109"/>
      <c r="L29" s="110"/>
      <c r="M29" s="111"/>
      <c r="N29" s="109"/>
      <c r="O29" s="110"/>
      <c r="P29" s="111"/>
      <c r="Q29" s="109"/>
      <c r="R29" s="110"/>
      <c r="S29" s="111"/>
      <c r="T29" s="109"/>
      <c r="U29" s="110"/>
      <c r="V29" s="111"/>
      <c r="W29" s="109"/>
      <c r="X29" s="110"/>
      <c r="Y29" s="111"/>
      <c r="Z29" s="109"/>
      <c r="AA29" s="162"/>
      <c r="AB29" s="111"/>
      <c r="AC29" s="109"/>
      <c r="AD29" s="110"/>
      <c r="AE29" s="111"/>
      <c r="AF29" s="109"/>
      <c r="AG29" s="112"/>
      <c r="AH29" s="231">
        <f>+Janvier!AJ29</f>
        <v>1892.3489010989013</v>
      </c>
      <c r="AI29" s="231">
        <f>+Janvier!AK29</f>
        <v>5887.3076923076933</v>
      </c>
      <c r="AJ29" s="231">
        <f>+Janvier!AL29</f>
        <v>4415.4807692307704</v>
      </c>
      <c r="AK29" s="231">
        <f>+Janvier!AM29</f>
        <v>4415.4807692307704</v>
      </c>
      <c r="AL29" s="231">
        <f>+Janvier!AN29</f>
        <v>2676.0489510489515</v>
      </c>
      <c r="AM29" s="231">
        <f>+Janvier!AO29</f>
        <v>1655.8052884615383</v>
      </c>
      <c r="AN29" s="231">
        <f>+Janvier!AP29</f>
        <v>3311.6105769230767</v>
      </c>
      <c r="AO29" s="231">
        <f>+Janvier!AQ29</f>
        <v>1655.8052884615383</v>
      </c>
      <c r="AP29" s="231">
        <f>+Janvier!AR29</f>
        <v>1655.8052884615383</v>
      </c>
      <c r="AQ29" s="231">
        <f>+Janvier!AS29</f>
        <v>2943.6538461538466</v>
      </c>
      <c r="AR29" s="92">
        <f t="shared" si="39"/>
        <v>0</v>
      </c>
      <c r="AS29" s="92">
        <f t="shared" si="40"/>
        <v>0</v>
      </c>
      <c r="AT29" s="92">
        <f t="shared" si="41"/>
        <v>0</v>
      </c>
      <c r="AU29" s="92">
        <f t="shared" si="42"/>
        <v>0</v>
      </c>
      <c r="AV29" s="92">
        <f t="shared" si="43"/>
        <v>0</v>
      </c>
      <c r="AW29" s="92">
        <f t="shared" si="44"/>
        <v>0</v>
      </c>
      <c r="AX29" s="92">
        <f t="shared" si="49"/>
        <v>0</v>
      </c>
      <c r="AY29" s="92">
        <f t="shared" si="46"/>
        <v>0</v>
      </c>
      <c r="AZ29" s="92">
        <f t="shared" si="47"/>
        <v>0</v>
      </c>
      <c r="BA29" s="93">
        <f t="shared" si="48"/>
        <v>0</v>
      </c>
    </row>
    <row r="30" spans="1:53" ht="15" thickBot="1" x14ac:dyDescent="0.35">
      <c r="A30" s="140" t="s">
        <v>84</v>
      </c>
      <c r="B30" s="160"/>
      <c r="C30" s="160"/>
      <c r="D30" s="163"/>
      <c r="E30" s="163"/>
      <c r="F30" s="124"/>
      <c r="G30" s="254"/>
      <c r="H30" s="163"/>
      <c r="I30" s="124"/>
      <c r="J30" s="253"/>
      <c r="K30" s="163"/>
      <c r="L30" s="124"/>
      <c r="M30" s="163"/>
      <c r="N30" s="163"/>
      <c r="O30" s="124"/>
      <c r="P30" s="163"/>
      <c r="Q30" s="163"/>
      <c r="R30" s="124"/>
      <c r="S30" s="163"/>
      <c r="T30" s="163"/>
      <c r="U30" s="124"/>
      <c r="V30" s="163"/>
      <c r="W30" s="163"/>
      <c r="X30" s="124"/>
      <c r="Y30" s="163"/>
      <c r="Z30" s="163"/>
      <c r="AA30" s="115"/>
      <c r="AB30" s="163"/>
      <c r="AC30" s="163"/>
      <c r="AD30" s="124"/>
      <c r="AE30" s="163"/>
      <c r="AF30" s="163"/>
      <c r="AG30" s="126"/>
      <c r="AH30" s="231">
        <f>+Janvier!AJ30</f>
        <v>84811.691250000003</v>
      </c>
      <c r="AI30" s="231">
        <f>+Janvier!AK30</f>
        <v>294602.45192307694</v>
      </c>
      <c r="AJ30" s="231">
        <f>+Janvier!AL30</f>
        <v>196205.23298076927</v>
      </c>
      <c r="AK30" s="231">
        <f>+Janvier!AM30</f>
        <v>196205.23298076927</v>
      </c>
      <c r="AL30" s="231">
        <f>+Janvier!AN30</f>
        <v>123733.02980769234</v>
      </c>
      <c r="AM30" s="231">
        <f>+Janvier!AO30</f>
        <v>73650.612980769234</v>
      </c>
      <c r="AN30" s="231">
        <f>+Janvier!AP30</f>
        <v>147301.22596153847</v>
      </c>
      <c r="AO30" s="231">
        <f>+Janvier!AQ30</f>
        <v>73650.612980769234</v>
      </c>
      <c r="AP30" s="231">
        <f>+Janvier!AR30</f>
        <v>73650.612980769234</v>
      </c>
      <c r="AQ30" s="231">
        <f>+Janvier!AS30</f>
        <v>131665.70250000001</v>
      </c>
      <c r="AR30" s="90">
        <f>ROUND(E30/(AH30/15),0)</f>
        <v>0</v>
      </c>
      <c r="AS30" s="90">
        <f t="shared" ref="AS30" si="50">ROUND(H30/(AI30/15),0)</f>
        <v>0</v>
      </c>
      <c r="AT30" s="90">
        <f t="shared" ref="AT30" si="51">ROUND(K30/(AJ30/15),0)</f>
        <v>0</v>
      </c>
      <c r="AU30" s="90">
        <f t="shared" ref="AU30" si="52">ROUND(N30/(AK30/15),0)</f>
        <v>0</v>
      </c>
      <c r="AV30" s="90">
        <f t="shared" ref="AV30" si="53">ROUND(Q30/(AL30/15),0)</f>
        <v>0</v>
      </c>
      <c r="AW30" s="90">
        <f t="shared" ref="AW30" si="54">ROUND(T30/(AM30/15),0)</f>
        <v>0</v>
      </c>
      <c r="AX30" s="90">
        <f t="shared" ref="AX30" si="55">ROUND(W30/(AN30/15),0)</f>
        <v>0</v>
      </c>
      <c r="AY30" s="90">
        <f t="shared" ref="AY30" si="56">ROUND(Z30/(AO30/15),0)</f>
        <v>0</v>
      </c>
      <c r="AZ30" s="90">
        <f t="shared" ref="AZ30" si="57">ROUND(AC30/(AP30/15),0)</f>
        <v>0</v>
      </c>
      <c r="BA30" s="91">
        <f t="shared" ref="BA30" si="58">ROUND(AF30/(AQ30/15),0)</f>
        <v>0</v>
      </c>
    </row>
    <row r="31" spans="1:53" ht="15" thickBot="1" x14ac:dyDescent="0.35">
      <c r="A31" s="184" t="s">
        <v>35</v>
      </c>
      <c r="B31" s="160"/>
      <c r="C31" s="94"/>
      <c r="D31" s="106"/>
      <c r="E31" s="106"/>
      <c r="F31" s="97"/>
      <c r="G31" s="116"/>
      <c r="H31" s="106"/>
      <c r="I31" s="97"/>
      <c r="J31" s="236"/>
      <c r="K31" s="106"/>
      <c r="L31" s="97"/>
      <c r="M31" s="106"/>
      <c r="N31" s="106"/>
      <c r="O31" s="97"/>
      <c r="P31" s="106"/>
      <c r="Q31" s="106"/>
      <c r="R31" s="97"/>
      <c r="S31" s="106"/>
      <c r="T31" s="106"/>
      <c r="U31" s="97"/>
      <c r="V31" s="106"/>
      <c r="W31" s="106"/>
      <c r="X31" s="97"/>
      <c r="Y31" s="106"/>
      <c r="Z31" s="106"/>
      <c r="AA31" s="100"/>
      <c r="AB31" s="106"/>
      <c r="AC31" s="106"/>
      <c r="AD31" s="97"/>
      <c r="AE31" s="106"/>
      <c r="AF31" s="106"/>
      <c r="AG31" s="105"/>
      <c r="AH31" s="231">
        <f>+Janvier!AJ31</f>
        <v>2028.8324175824175</v>
      </c>
      <c r="AI31" s="231">
        <f>+Janvier!AK31</f>
        <v>6311.9230769230771</v>
      </c>
      <c r="AJ31" s="231">
        <f>+Janvier!AL31</f>
        <v>4733.9423076923076</v>
      </c>
      <c r="AK31" s="231">
        <f>+Janvier!AM31</f>
        <v>4733.9423076923076</v>
      </c>
      <c r="AL31" s="231">
        <f>+Janvier!AN31</f>
        <v>2869.0559440559441</v>
      </c>
      <c r="AM31" s="231">
        <f>+Janvier!AO31</f>
        <v>1775.2283653846155</v>
      </c>
      <c r="AN31" s="231">
        <f>+Janvier!AP31</f>
        <v>3550.4567307692309</v>
      </c>
      <c r="AO31" s="231">
        <f>+Janvier!AQ31</f>
        <v>1775.2283653846155</v>
      </c>
      <c r="AP31" s="231">
        <f>+Janvier!AR31</f>
        <v>1775.2283653846155</v>
      </c>
      <c r="AQ31" s="231">
        <f>+Janvier!AS31</f>
        <v>3155.9615384615386</v>
      </c>
      <c r="AR31" s="16">
        <f t="shared" ref="AR31:AR39" si="59">ROUND(E31/(AH31/5),0)</f>
        <v>0</v>
      </c>
      <c r="AS31" s="16">
        <f t="shared" ref="AS31:AS39" si="60">ROUND(H31/(AI31/5),0)</f>
        <v>0</v>
      </c>
      <c r="AT31" s="16">
        <f t="shared" ref="AT31:AT39" si="61">ROUND(K31/(AJ31/5),0)</f>
        <v>0</v>
      </c>
      <c r="AU31" s="16">
        <f t="shared" ref="AU31:AU39" si="62">ROUND(N31/(AK31/5),0)</f>
        <v>0</v>
      </c>
      <c r="AV31" s="16">
        <f t="shared" ref="AV31:AV39" si="63">ROUND(Q31/(AL31/5),0)</f>
        <v>0</v>
      </c>
      <c r="AW31" s="16">
        <f t="shared" ref="AW31:AW39" si="64">ROUND(T31/(AM31/5),0)</f>
        <v>0</v>
      </c>
      <c r="AX31" s="16">
        <f t="shared" ref="AX31:AX39" si="65">ROUND(W31/(AN31/5),0)</f>
        <v>0</v>
      </c>
      <c r="AY31" s="16">
        <f t="shared" ref="AY31:AY39" si="66">ROUND(Z31/(AO31/5),0)</f>
        <v>0</v>
      </c>
      <c r="AZ31" s="16">
        <f t="shared" ref="AZ31:AZ39" si="67">ROUND(AC31/(AP31/5),0)</f>
        <v>0</v>
      </c>
      <c r="BA31" s="17">
        <f t="shared" ref="BA31:BA39" si="68">ROUND(AF31/(AQ31/5),0)</f>
        <v>0</v>
      </c>
    </row>
    <row r="32" spans="1:53" ht="15" thickBot="1" x14ac:dyDescent="0.35">
      <c r="A32" s="184" t="s">
        <v>36</v>
      </c>
      <c r="B32" s="160"/>
      <c r="C32" s="94"/>
      <c r="D32" s="106"/>
      <c r="E32" s="96"/>
      <c r="F32" s="97"/>
      <c r="G32" s="116"/>
      <c r="H32" s="96"/>
      <c r="I32" s="97"/>
      <c r="J32" s="236"/>
      <c r="K32" s="96"/>
      <c r="L32" s="97"/>
      <c r="M32" s="106"/>
      <c r="N32" s="96"/>
      <c r="O32" s="97"/>
      <c r="P32" s="106"/>
      <c r="Q32" s="96"/>
      <c r="R32" s="97"/>
      <c r="S32" s="106"/>
      <c r="T32" s="96"/>
      <c r="U32" s="97"/>
      <c r="V32" s="106"/>
      <c r="W32" s="96"/>
      <c r="X32" s="97"/>
      <c r="Y32" s="106"/>
      <c r="Z32" s="96"/>
      <c r="AA32" s="100"/>
      <c r="AB32" s="106"/>
      <c r="AC32" s="96"/>
      <c r="AD32" s="97"/>
      <c r="AE32" s="106"/>
      <c r="AF32" s="96"/>
      <c r="AG32" s="105"/>
      <c r="AH32" s="231">
        <f>+Janvier!AJ32</f>
        <v>431.0851648351649</v>
      </c>
      <c r="AI32" s="231">
        <f>+Janvier!AK32</f>
        <v>1341.1538461538464</v>
      </c>
      <c r="AJ32" s="231">
        <f>+Janvier!AL32</f>
        <v>1005.8653846153848</v>
      </c>
      <c r="AK32" s="231">
        <f>+Janvier!AM32</f>
        <v>1005.8653846153848</v>
      </c>
      <c r="AL32" s="231">
        <f>+Janvier!AN32</f>
        <v>609.61538461538464</v>
      </c>
      <c r="AM32" s="231">
        <f>+Janvier!AO32</f>
        <v>377.19951923076917</v>
      </c>
      <c r="AN32" s="231">
        <f>+Janvier!AP32</f>
        <v>754.39903846153834</v>
      </c>
      <c r="AO32" s="231">
        <f>+Janvier!AQ32</f>
        <v>377.19951923076917</v>
      </c>
      <c r="AP32" s="231">
        <f>+Janvier!AR32</f>
        <v>377.19951923076917</v>
      </c>
      <c r="AQ32" s="231">
        <f>+Janvier!AS32</f>
        <v>670.57692307692321</v>
      </c>
      <c r="AR32" s="16">
        <f t="shared" si="59"/>
        <v>0</v>
      </c>
      <c r="AS32" s="16">
        <f t="shared" si="60"/>
        <v>0</v>
      </c>
      <c r="AT32" s="16">
        <f t="shared" si="61"/>
        <v>0</v>
      </c>
      <c r="AU32" s="16">
        <f t="shared" si="62"/>
        <v>0</v>
      </c>
      <c r="AV32" s="16">
        <f t="shared" si="63"/>
        <v>0</v>
      </c>
      <c r="AW32" s="16">
        <f t="shared" si="64"/>
        <v>0</v>
      </c>
      <c r="AX32" s="16">
        <f t="shared" si="65"/>
        <v>0</v>
      </c>
      <c r="AY32" s="16">
        <f t="shared" si="66"/>
        <v>0</v>
      </c>
      <c r="AZ32" s="16">
        <f t="shared" si="67"/>
        <v>0</v>
      </c>
      <c r="BA32" s="17">
        <f t="shared" si="68"/>
        <v>0</v>
      </c>
    </row>
    <row r="33" spans="1:53" ht="15" thickBot="1" x14ac:dyDescent="0.35">
      <c r="A33" s="184" t="s">
        <v>37</v>
      </c>
      <c r="B33" s="160"/>
      <c r="C33" s="94"/>
      <c r="D33" s="106"/>
      <c r="E33" s="106"/>
      <c r="F33" s="97"/>
      <c r="G33" s="116"/>
      <c r="H33" s="106"/>
      <c r="I33" s="97"/>
      <c r="J33" s="236"/>
      <c r="K33" s="106"/>
      <c r="L33" s="97"/>
      <c r="M33" s="106"/>
      <c r="N33" s="106"/>
      <c r="O33" s="97"/>
      <c r="P33" s="106"/>
      <c r="Q33" s="106"/>
      <c r="R33" s="97"/>
      <c r="S33" s="106"/>
      <c r="T33" s="106"/>
      <c r="U33" s="97"/>
      <c r="V33" s="106"/>
      <c r="W33" s="106"/>
      <c r="X33" s="97"/>
      <c r="Y33" s="106"/>
      <c r="Z33" s="106"/>
      <c r="AA33" s="100"/>
      <c r="AB33" s="106"/>
      <c r="AC33" s="106"/>
      <c r="AD33" s="97"/>
      <c r="AE33" s="106"/>
      <c r="AF33" s="106"/>
      <c r="AG33" s="105"/>
      <c r="AH33" s="231">
        <f>+Janvier!AJ33</f>
        <v>5199.2307692307695</v>
      </c>
      <c r="AI33" s="231">
        <f>+Janvier!AK33</f>
        <v>16175.384615384613</v>
      </c>
      <c r="AJ33" s="231">
        <f>+Janvier!AL33</f>
        <v>12131.538461538461</v>
      </c>
      <c r="AK33" s="231">
        <f>+Janvier!AM33</f>
        <v>12131.538461538461</v>
      </c>
      <c r="AL33" s="231">
        <f>+Janvier!AN33</f>
        <v>7352.4475524475547</v>
      </c>
      <c r="AM33" s="231">
        <f>+Janvier!AO33</f>
        <v>4549.3269230769229</v>
      </c>
      <c r="AN33" s="231">
        <f>+Janvier!AP33</f>
        <v>9098.6538461538457</v>
      </c>
      <c r="AO33" s="231">
        <f>+Janvier!AQ33</f>
        <v>4549.3269230769229</v>
      </c>
      <c r="AP33" s="231">
        <f>+Janvier!AR33</f>
        <v>4549.3269230769229</v>
      </c>
      <c r="AQ33" s="231">
        <f>+Janvier!AS33</f>
        <v>8087.6923076923067</v>
      </c>
      <c r="AR33" s="16">
        <f t="shared" si="59"/>
        <v>0</v>
      </c>
      <c r="AS33" s="16">
        <f t="shared" si="60"/>
        <v>0</v>
      </c>
      <c r="AT33" s="16">
        <f t="shared" si="61"/>
        <v>0</v>
      </c>
      <c r="AU33" s="16">
        <f t="shared" si="62"/>
        <v>0</v>
      </c>
      <c r="AV33" s="16">
        <f t="shared" si="63"/>
        <v>0</v>
      </c>
      <c r="AW33" s="16">
        <f t="shared" si="64"/>
        <v>0</v>
      </c>
      <c r="AX33" s="16">
        <f t="shared" si="65"/>
        <v>0</v>
      </c>
      <c r="AY33" s="16">
        <f t="shared" si="66"/>
        <v>0</v>
      </c>
      <c r="AZ33" s="16">
        <f t="shared" si="67"/>
        <v>0</v>
      </c>
      <c r="BA33" s="17">
        <f t="shared" si="68"/>
        <v>0</v>
      </c>
    </row>
    <row r="34" spans="1:53" ht="15" thickBot="1" x14ac:dyDescent="0.35">
      <c r="A34" s="184" t="s">
        <v>38</v>
      </c>
      <c r="B34" s="160"/>
      <c r="C34" s="94"/>
      <c r="D34" s="106"/>
      <c r="E34" s="106"/>
      <c r="F34" s="97"/>
      <c r="G34" s="116"/>
      <c r="H34" s="106"/>
      <c r="I34" s="97"/>
      <c r="J34" s="236"/>
      <c r="K34" s="106"/>
      <c r="L34" s="97"/>
      <c r="M34" s="106"/>
      <c r="N34" s="106"/>
      <c r="O34" s="97"/>
      <c r="P34" s="106"/>
      <c r="Q34" s="106"/>
      <c r="R34" s="97"/>
      <c r="S34" s="106"/>
      <c r="T34" s="106"/>
      <c r="U34" s="97"/>
      <c r="V34" s="106"/>
      <c r="W34" s="106"/>
      <c r="X34" s="97"/>
      <c r="Y34" s="106"/>
      <c r="Z34" s="106"/>
      <c r="AA34" s="100"/>
      <c r="AB34" s="106"/>
      <c r="AC34" s="106"/>
      <c r="AD34" s="97"/>
      <c r="AE34" s="106"/>
      <c r="AF34" s="106"/>
      <c r="AG34" s="105"/>
      <c r="AH34" s="231">
        <f>+Janvier!AJ34</f>
        <v>1323.9148351648353</v>
      </c>
      <c r="AI34" s="231">
        <f>+Janvier!AK34</f>
        <v>4118.8461538461534</v>
      </c>
      <c r="AJ34" s="231">
        <f>+Janvier!AL34</f>
        <v>3089.1346153846152</v>
      </c>
      <c r="AK34" s="231">
        <f>+Janvier!AM34</f>
        <v>3089.1346153846152</v>
      </c>
      <c r="AL34" s="231">
        <f>+Janvier!AN34</f>
        <v>1872.2027972027972</v>
      </c>
      <c r="AM34" s="231">
        <f>+Janvier!AO34</f>
        <v>1158.4254807692307</v>
      </c>
      <c r="AN34" s="231">
        <f>+Janvier!AP34</f>
        <v>2316.8509615384614</v>
      </c>
      <c r="AO34" s="231">
        <f>+Janvier!AQ34</f>
        <v>1158.4254807692307</v>
      </c>
      <c r="AP34" s="231">
        <f>+Janvier!AR34</f>
        <v>1158.4254807692307</v>
      </c>
      <c r="AQ34" s="231">
        <f>+Janvier!AS34</f>
        <v>2059.4230769230767</v>
      </c>
      <c r="AR34" s="16">
        <f t="shared" si="59"/>
        <v>0</v>
      </c>
      <c r="AS34" s="16">
        <f t="shared" si="60"/>
        <v>0</v>
      </c>
      <c r="AT34" s="16">
        <f t="shared" si="61"/>
        <v>0</v>
      </c>
      <c r="AU34" s="16">
        <f t="shared" si="62"/>
        <v>0</v>
      </c>
      <c r="AV34" s="16">
        <f t="shared" si="63"/>
        <v>0</v>
      </c>
      <c r="AW34" s="16">
        <f t="shared" si="64"/>
        <v>0</v>
      </c>
      <c r="AX34" s="16">
        <f t="shared" si="65"/>
        <v>0</v>
      </c>
      <c r="AY34" s="16">
        <f t="shared" si="66"/>
        <v>0</v>
      </c>
      <c r="AZ34" s="16">
        <f t="shared" si="67"/>
        <v>0</v>
      </c>
      <c r="BA34" s="17">
        <f t="shared" si="68"/>
        <v>0</v>
      </c>
    </row>
    <row r="35" spans="1:53" ht="15" thickBot="1" x14ac:dyDescent="0.35">
      <c r="A35" s="184" t="s">
        <v>39</v>
      </c>
      <c r="B35" s="160"/>
      <c r="C35" s="94"/>
      <c r="D35" s="106"/>
      <c r="E35" s="106"/>
      <c r="F35" s="97"/>
      <c r="G35" s="116"/>
      <c r="H35" s="106"/>
      <c r="I35" s="97"/>
      <c r="J35" s="236"/>
      <c r="K35" s="106"/>
      <c r="L35" s="97"/>
      <c r="M35" s="106"/>
      <c r="N35" s="106"/>
      <c r="O35" s="97"/>
      <c r="P35" s="106"/>
      <c r="Q35" s="106"/>
      <c r="R35" s="97"/>
      <c r="S35" s="106"/>
      <c r="T35" s="106"/>
      <c r="U35" s="97"/>
      <c r="V35" s="106"/>
      <c r="W35" s="106"/>
      <c r="X35" s="97"/>
      <c r="Y35" s="106"/>
      <c r="Z35" s="106"/>
      <c r="AA35" s="100"/>
      <c r="AB35" s="106"/>
      <c r="AC35" s="106"/>
      <c r="AD35" s="97"/>
      <c r="AE35" s="106"/>
      <c r="AF35" s="106"/>
      <c r="AG35" s="105"/>
      <c r="AH35" s="231">
        <f>+Janvier!AJ35</f>
        <v>4319.1346153846152</v>
      </c>
      <c r="AI35" s="231">
        <f>+Janvier!AK35</f>
        <v>13437.307692307693</v>
      </c>
      <c r="AJ35" s="231">
        <f>+Janvier!AL35</f>
        <v>10077.98076923077</v>
      </c>
      <c r="AK35" s="231">
        <f>+Janvier!AM35</f>
        <v>10077.98076923077</v>
      </c>
      <c r="AL35" s="231">
        <f>+Janvier!AN35</f>
        <v>6107.8671328671326</v>
      </c>
      <c r="AM35" s="231">
        <f>+Janvier!AO35</f>
        <v>3779.2427884615386</v>
      </c>
      <c r="AN35" s="231">
        <f>+Janvier!AP35</f>
        <v>7558.4855769230771</v>
      </c>
      <c r="AO35" s="231">
        <f>+Janvier!AQ35</f>
        <v>3779.2427884615386</v>
      </c>
      <c r="AP35" s="231">
        <f>+Janvier!AR35</f>
        <v>3779.2427884615386</v>
      </c>
      <c r="AQ35" s="231">
        <f>+Janvier!AS35</f>
        <v>6718.6538461538466</v>
      </c>
      <c r="AR35" s="16">
        <f t="shared" si="59"/>
        <v>0</v>
      </c>
      <c r="AS35" s="16">
        <f t="shared" si="60"/>
        <v>0</v>
      </c>
      <c r="AT35" s="16">
        <f t="shared" si="61"/>
        <v>0</v>
      </c>
      <c r="AU35" s="16">
        <f t="shared" si="62"/>
        <v>0</v>
      </c>
      <c r="AV35" s="16">
        <f t="shared" si="63"/>
        <v>0</v>
      </c>
      <c r="AW35" s="16">
        <f t="shared" si="64"/>
        <v>0</v>
      </c>
      <c r="AX35" s="16">
        <f t="shared" si="65"/>
        <v>0</v>
      </c>
      <c r="AY35" s="16">
        <f t="shared" si="66"/>
        <v>0</v>
      </c>
      <c r="AZ35" s="16">
        <f t="shared" si="67"/>
        <v>0</v>
      </c>
      <c r="BA35" s="17">
        <f t="shared" si="68"/>
        <v>0</v>
      </c>
    </row>
    <row r="36" spans="1:53" ht="15" thickBot="1" x14ac:dyDescent="0.35">
      <c r="A36" s="184" t="s">
        <v>40</v>
      </c>
      <c r="B36" s="160"/>
      <c r="C36" s="94"/>
      <c r="D36" s="106"/>
      <c r="E36" s="106"/>
      <c r="F36" s="97"/>
      <c r="G36" s="116"/>
      <c r="H36" s="106"/>
      <c r="I36" s="97"/>
      <c r="J36" s="236"/>
      <c r="K36" s="106"/>
      <c r="L36" s="97"/>
      <c r="M36" s="106"/>
      <c r="N36" s="106"/>
      <c r="O36" s="97"/>
      <c r="P36" s="106"/>
      <c r="Q36" s="106"/>
      <c r="R36" s="97"/>
      <c r="S36" s="106"/>
      <c r="T36" s="106"/>
      <c r="U36" s="97"/>
      <c r="V36" s="106"/>
      <c r="W36" s="106"/>
      <c r="X36" s="97"/>
      <c r="Y36" s="106"/>
      <c r="Z36" s="106"/>
      <c r="AA36" s="100"/>
      <c r="AB36" s="106"/>
      <c r="AC36" s="106"/>
      <c r="AD36" s="97"/>
      <c r="AE36" s="106"/>
      <c r="AF36" s="106"/>
      <c r="AG36" s="105"/>
      <c r="AH36" s="231">
        <f>+Janvier!AJ36</f>
        <v>3701.7445054945065</v>
      </c>
      <c r="AI36" s="231">
        <f>+Janvier!AK36</f>
        <v>11516.538461538461</v>
      </c>
      <c r="AJ36" s="231">
        <f>+Janvier!AL36</f>
        <v>8637.4038461538476</v>
      </c>
      <c r="AK36" s="231">
        <f>+Janvier!AM36</f>
        <v>8637.4038461538476</v>
      </c>
      <c r="AL36" s="231">
        <f>+Janvier!AN36</f>
        <v>5234.7902097902097</v>
      </c>
      <c r="AM36" s="231">
        <f>+Janvier!AO36</f>
        <v>3239.0264423076924</v>
      </c>
      <c r="AN36" s="231">
        <f>+Janvier!AP36</f>
        <v>6478.0528846153848</v>
      </c>
      <c r="AO36" s="231">
        <f>+Janvier!AQ36</f>
        <v>3239.0264423076924</v>
      </c>
      <c r="AP36" s="231">
        <f>+Janvier!AR36</f>
        <v>3239.0264423076924</v>
      </c>
      <c r="AQ36" s="231">
        <f>+Janvier!AS36</f>
        <v>5758.2692307692305</v>
      </c>
      <c r="AR36" s="16">
        <f t="shared" si="59"/>
        <v>0</v>
      </c>
      <c r="AS36" s="16">
        <f t="shared" si="60"/>
        <v>0</v>
      </c>
      <c r="AT36" s="16">
        <f t="shared" si="61"/>
        <v>0</v>
      </c>
      <c r="AU36" s="16">
        <f t="shared" si="62"/>
        <v>0</v>
      </c>
      <c r="AV36" s="16">
        <f t="shared" si="63"/>
        <v>0</v>
      </c>
      <c r="AW36" s="16">
        <f t="shared" si="64"/>
        <v>0</v>
      </c>
      <c r="AX36" s="16">
        <f t="shared" si="65"/>
        <v>0</v>
      </c>
      <c r="AY36" s="16">
        <f t="shared" si="66"/>
        <v>0</v>
      </c>
      <c r="AZ36" s="16">
        <f t="shared" si="67"/>
        <v>0</v>
      </c>
      <c r="BA36" s="17">
        <f t="shared" si="68"/>
        <v>0</v>
      </c>
    </row>
    <row r="37" spans="1:53" ht="15" thickBot="1" x14ac:dyDescent="0.35">
      <c r="A37" s="184" t="s">
        <v>41</v>
      </c>
      <c r="B37" s="160"/>
      <c r="C37" s="94"/>
      <c r="D37" s="106"/>
      <c r="E37" s="106"/>
      <c r="F37" s="97"/>
      <c r="G37" s="116"/>
      <c r="H37" s="106"/>
      <c r="I37" s="97"/>
      <c r="J37" s="236"/>
      <c r="K37" s="106"/>
      <c r="L37" s="97"/>
      <c r="M37" s="106"/>
      <c r="N37" s="106"/>
      <c r="O37" s="97"/>
      <c r="P37" s="106"/>
      <c r="Q37" s="106"/>
      <c r="R37" s="97"/>
      <c r="S37" s="106"/>
      <c r="T37" s="106"/>
      <c r="U37" s="97"/>
      <c r="V37" s="106"/>
      <c r="W37" s="106"/>
      <c r="X37" s="97"/>
      <c r="Y37" s="106"/>
      <c r="Z37" s="106"/>
      <c r="AA37" s="100"/>
      <c r="AB37" s="106"/>
      <c r="AC37" s="106"/>
      <c r="AD37" s="97"/>
      <c r="AE37" s="106"/>
      <c r="AF37" s="106"/>
      <c r="AG37" s="105"/>
      <c r="AH37" s="231">
        <f>+Janvier!AJ37</f>
        <v>2204.0109890109893</v>
      </c>
      <c r="AI37" s="231">
        <f>+Janvier!AK37</f>
        <v>6856.9230769230771</v>
      </c>
      <c r="AJ37" s="231">
        <f>+Janvier!AL37</f>
        <v>5142.6923076923085</v>
      </c>
      <c r="AK37" s="231">
        <f>+Janvier!AM37</f>
        <v>5142.6923076923085</v>
      </c>
      <c r="AL37" s="231">
        <f>+Janvier!AN37</f>
        <v>3116.7832167832171</v>
      </c>
      <c r="AM37" s="231">
        <f>+Janvier!AO37</f>
        <v>1928.5096153846155</v>
      </c>
      <c r="AN37" s="231">
        <f>+Janvier!AP37</f>
        <v>3857.0192307692309</v>
      </c>
      <c r="AO37" s="231">
        <f>+Janvier!AQ37</f>
        <v>1928.5096153846155</v>
      </c>
      <c r="AP37" s="231">
        <f>+Janvier!AR37</f>
        <v>1928.5096153846155</v>
      </c>
      <c r="AQ37" s="231">
        <f>+Janvier!AS37</f>
        <v>3428.4615384615386</v>
      </c>
      <c r="AR37" s="16">
        <f t="shared" si="59"/>
        <v>0</v>
      </c>
      <c r="AS37" s="16">
        <f t="shared" si="60"/>
        <v>0</v>
      </c>
      <c r="AT37" s="16">
        <f t="shared" si="61"/>
        <v>0</v>
      </c>
      <c r="AU37" s="16">
        <f t="shared" si="62"/>
        <v>0</v>
      </c>
      <c r="AV37" s="16">
        <f t="shared" si="63"/>
        <v>0</v>
      </c>
      <c r="AW37" s="16">
        <f t="shared" si="64"/>
        <v>0</v>
      </c>
      <c r="AX37" s="16">
        <f t="shared" si="65"/>
        <v>0</v>
      </c>
      <c r="AY37" s="16">
        <f t="shared" si="66"/>
        <v>0</v>
      </c>
      <c r="AZ37" s="16">
        <f t="shared" si="67"/>
        <v>0</v>
      </c>
      <c r="BA37" s="17">
        <f t="shared" si="68"/>
        <v>0</v>
      </c>
    </row>
    <row r="38" spans="1:53" ht="15" thickBot="1" x14ac:dyDescent="0.35">
      <c r="A38" s="184" t="s">
        <v>42</v>
      </c>
      <c r="B38" s="160"/>
      <c r="C38" s="94"/>
      <c r="D38" s="106"/>
      <c r="E38" s="106"/>
      <c r="F38" s="97"/>
      <c r="G38" s="116"/>
      <c r="H38" s="106"/>
      <c r="I38" s="97"/>
      <c r="J38" s="236"/>
      <c r="K38" s="106"/>
      <c r="L38" s="97"/>
      <c r="M38" s="106"/>
      <c r="N38" s="106"/>
      <c r="O38" s="97"/>
      <c r="P38" s="106"/>
      <c r="Q38" s="106"/>
      <c r="R38" s="97"/>
      <c r="S38" s="106"/>
      <c r="T38" s="106"/>
      <c r="U38" s="97"/>
      <c r="V38" s="106"/>
      <c r="W38" s="106"/>
      <c r="X38" s="97"/>
      <c r="Y38" s="106"/>
      <c r="Z38" s="106"/>
      <c r="AA38" s="100"/>
      <c r="AB38" s="106"/>
      <c r="AC38" s="106"/>
      <c r="AD38" s="97"/>
      <c r="AE38" s="106"/>
      <c r="AF38" s="106"/>
      <c r="AG38" s="105"/>
      <c r="AH38" s="231">
        <f>+Janvier!AJ38</f>
        <v>4595.1923076923076</v>
      </c>
      <c r="AI38" s="231">
        <f>+Janvier!AK38</f>
        <v>14296.153846153846</v>
      </c>
      <c r="AJ38" s="231">
        <f>+Janvier!AL38</f>
        <v>10722.115384615387</v>
      </c>
      <c r="AK38" s="231">
        <f>+Janvier!AM38</f>
        <v>10722.115384615387</v>
      </c>
      <c r="AL38" s="231">
        <f>+Janvier!AN38</f>
        <v>6498.2517482517496</v>
      </c>
      <c r="AM38" s="231">
        <f>+Janvier!AO38</f>
        <v>4020.7932692307691</v>
      </c>
      <c r="AN38" s="231">
        <f>+Janvier!AP38</f>
        <v>8041.5865384615381</v>
      </c>
      <c r="AO38" s="231">
        <f>+Janvier!AQ38</f>
        <v>4020.7932692307691</v>
      </c>
      <c r="AP38" s="231">
        <f>+Janvier!AR38</f>
        <v>4020.7932692307691</v>
      </c>
      <c r="AQ38" s="231">
        <f>+Janvier!AS38</f>
        <v>7148.0769230769229</v>
      </c>
      <c r="AR38" s="16">
        <f t="shared" si="59"/>
        <v>0</v>
      </c>
      <c r="AS38" s="16">
        <f t="shared" si="60"/>
        <v>0</v>
      </c>
      <c r="AT38" s="16">
        <f t="shared" si="61"/>
        <v>0</v>
      </c>
      <c r="AU38" s="16">
        <f t="shared" si="62"/>
        <v>0</v>
      </c>
      <c r="AV38" s="16">
        <f t="shared" si="63"/>
        <v>0</v>
      </c>
      <c r="AW38" s="16">
        <f t="shared" si="64"/>
        <v>0</v>
      </c>
      <c r="AX38" s="16">
        <f t="shared" si="65"/>
        <v>0</v>
      </c>
      <c r="AY38" s="16">
        <f t="shared" si="66"/>
        <v>0</v>
      </c>
      <c r="AZ38" s="16">
        <f t="shared" si="67"/>
        <v>0</v>
      </c>
      <c r="BA38" s="17">
        <f t="shared" si="68"/>
        <v>0</v>
      </c>
    </row>
    <row r="39" spans="1:53" ht="15" thickBot="1" x14ac:dyDescent="0.35">
      <c r="A39" s="121" t="s">
        <v>43</v>
      </c>
      <c r="B39" s="160"/>
      <c r="C39" s="143"/>
      <c r="D39" s="145"/>
      <c r="E39" s="145"/>
      <c r="F39" s="110"/>
      <c r="G39" s="147"/>
      <c r="H39" s="145"/>
      <c r="I39" s="110"/>
      <c r="J39" s="238"/>
      <c r="K39" s="145"/>
      <c r="L39" s="110"/>
      <c r="M39" s="145"/>
      <c r="N39" s="145"/>
      <c r="O39" s="110"/>
      <c r="P39" s="145"/>
      <c r="Q39" s="145"/>
      <c r="R39" s="110"/>
      <c r="S39" s="145"/>
      <c r="T39" s="145"/>
      <c r="U39" s="110"/>
      <c r="V39" s="145"/>
      <c r="W39" s="145"/>
      <c r="X39" s="110"/>
      <c r="Y39" s="145"/>
      <c r="Z39" s="145"/>
      <c r="AA39" s="162"/>
      <c r="AB39" s="145"/>
      <c r="AC39" s="145"/>
      <c r="AD39" s="110"/>
      <c r="AE39" s="145"/>
      <c r="AF39" s="145"/>
      <c r="AG39" s="112"/>
      <c r="AH39" s="231">
        <f>+Janvier!AJ39</f>
        <v>4254.2307692307695</v>
      </c>
      <c r="AI39" s="231">
        <f>+Janvier!AK39</f>
        <v>13235.384615384613</v>
      </c>
      <c r="AJ39" s="231">
        <f>+Janvier!AL39</f>
        <v>9926.538461538461</v>
      </c>
      <c r="AK39" s="231">
        <f>+Janvier!AM39</f>
        <v>9926.538461538461</v>
      </c>
      <c r="AL39" s="231">
        <f>+Janvier!AN39</f>
        <v>6016.0839160839159</v>
      </c>
      <c r="AM39" s="231">
        <f>+Janvier!AO39</f>
        <v>3722.4519230769233</v>
      </c>
      <c r="AN39" s="231">
        <f>+Janvier!AP39</f>
        <v>7444.9038461538466</v>
      </c>
      <c r="AO39" s="231">
        <f>+Janvier!AQ39</f>
        <v>3722.4519230769233</v>
      </c>
      <c r="AP39" s="231">
        <f>+Janvier!AR39</f>
        <v>3722.4519230769233</v>
      </c>
      <c r="AQ39" s="231">
        <f>+Janvier!AS39</f>
        <v>6617.6923076923067</v>
      </c>
      <c r="AR39" s="32">
        <f t="shared" si="59"/>
        <v>0</v>
      </c>
      <c r="AS39" s="32">
        <f t="shared" si="60"/>
        <v>0</v>
      </c>
      <c r="AT39" s="32">
        <f t="shared" si="61"/>
        <v>0</v>
      </c>
      <c r="AU39" s="32">
        <f t="shared" si="62"/>
        <v>0</v>
      </c>
      <c r="AV39" s="32">
        <f t="shared" si="63"/>
        <v>0</v>
      </c>
      <c r="AW39" s="32">
        <f t="shared" si="64"/>
        <v>0</v>
      </c>
      <c r="AX39" s="32">
        <f t="shared" si="65"/>
        <v>0</v>
      </c>
      <c r="AY39" s="32">
        <f t="shared" si="66"/>
        <v>0</v>
      </c>
      <c r="AZ39" s="32">
        <f t="shared" si="67"/>
        <v>0</v>
      </c>
      <c r="BA39" s="33">
        <f t="shared" si="68"/>
        <v>0</v>
      </c>
    </row>
    <row r="40" spans="1:53" ht="15.6" x14ac:dyDescent="0.3">
      <c r="A40" s="198" t="s">
        <v>88</v>
      </c>
      <c r="B40" s="160"/>
      <c r="C40" s="160"/>
      <c r="D40" s="122"/>
      <c r="E40" s="123"/>
      <c r="F40" s="124"/>
      <c r="G40" s="125"/>
      <c r="H40" s="123"/>
      <c r="I40" s="126"/>
      <c r="J40" s="125"/>
      <c r="K40" s="123"/>
      <c r="L40" s="124"/>
      <c r="M40" s="125"/>
      <c r="N40" s="123"/>
      <c r="O40" s="124"/>
      <c r="P40" s="125"/>
      <c r="Q40" s="123"/>
      <c r="R40" s="124"/>
      <c r="S40" s="125"/>
      <c r="T40" s="123"/>
      <c r="U40" s="124"/>
      <c r="V40" s="125"/>
      <c r="W40" s="123"/>
      <c r="X40" s="124"/>
      <c r="Y40" s="125"/>
      <c r="Z40" s="123"/>
      <c r="AA40" s="124"/>
      <c r="AB40" s="125"/>
      <c r="AC40" s="123"/>
      <c r="AD40" s="124"/>
      <c r="AE40" s="125"/>
      <c r="AF40" s="123"/>
      <c r="AG40" s="126"/>
      <c r="AH40" s="231">
        <f>+Janvier!AJ40</f>
        <v>69601.949999999983</v>
      </c>
      <c r="AI40" s="231">
        <f>+Janvier!AK40</f>
        <v>241304.71153846153</v>
      </c>
      <c r="AJ40" s="231">
        <f>+Janvier!AL40</f>
        <v>160708.93788461541</v>
      </c>
      <c r="AK40" s="231">
        <f>+Janvier!AM40</f>
        <v>160708.93788461541</v>
      </c>
      <c r="AL40" s="231">
        <f>+Janvier!AN40</f>
        <v>101347.97884615386</v>
      </c>
      <c r="AM40" s="231">
        <f>+Janvier!AO40</f>
        <v>60326.177884615383</v>
      </c>
      <c r="AN40" s="231">
        <f>+Janvier!AP40</f>
        <v>120652.35576923077</v>
      </c>
      <c r="AO40" s="231">
        <f>+Janvier!AQ40</f>
        <v>60326.177884615383</v>
      </c>
      <c r="AP40" s="231">
        <f>+Janvier!AR40</f>
        <v>60326.177884615383</v>
      </c>
      <c r="AQ40" s="231">
        <f>+Janvier!AS40</f>
        <v>108053.37692307694</v>
      </c>
      <c r="AR40" s="16">
        <f>ROUND(E40/(AH40/15),0)</f>
        <v>0</v>
      </c>
      <c r="AS40" s="16">
        <f t="shared" ref="AS40" si="69">ROUND(H40/(AI40/15),0)</f>
        <v>0</v>
      </c>
      <c r="AT40" s="16">
        <f t="shared" ref="AT40" si="70">ROUND(K40/(AJ40/15),0)</f>
        <v>0</v>
      </c>
      <c r="AU40" s="16">
        <f t="shared" ref="AU40" si="71">ROUND(N40/(AK40/15),0)</f>
        <v>0</v>
      </c>
      <c r="AV40" s="16">
        <f t="shared" ref="AV40" si="72">ROUND(Q40/(AL40/15),0)</f>
        <v>0</v>
      </c>
      <c r="AW40" s="16">
        <f t="shared" ref="AW40" si="73">ROUND(T40/(AM40/15),0)</f>
        <v>0</v>
      </c>
      <c r="AX40" s="16">
        <f t="shared" ref="AX40" si="74">ROUND(W40/(AN40/15),0)</f>
        <v>0</v>
      </c>
      <c r="AY40" s="16">
        <f t="shared" ref="AY40" si="75">ROUND(Z40/(AO40/15),0)</f>
        <v>0</v>
      </c>
      <c r="AZ40" s="16">
        <f t="shared" ref="AZ40" si="76">ROUND(AC40/(AP40/15),0)</f>
        <v>0</v>
      </c>
      <c r="BA40" s="17">
        <f t="shared" ref="BA40" si="77">ROUND(AF40/(AQ40/15),0)</f>
        <v>0</v>
      </c>
    </row>
    <row r="41" spans="1:53" ht="15.6" x14ac:dyDescent="0.3">
      <c r="A41" s="199" t="s">
        <v>44</v>
      </c>
      <c r="B41" s="94"/>
      <c r="C41" s="94"/>
      <c r="D41" s="107"/>
      <c r="E41" s="96"/>
      <c r="F41" s="97"/>
      <c r="G41" s="95"/>
      <c r="H41" s="96"/>
      <c r="I41" s="105"/>
      <c r="J41" s="95"/>
      <c r="K41" s="96"/>
      <c r="L41" s="97"/>
      <c r="M41" s="95"/>
      <c r="N41" s="96"/>
      <c r="O41" s="97"/>
      <c r="P41" s="95"/>
      <c r="Q41" s="96"/>
      <c r="R41" s="97"/>
      <c r="S41" s="95"/>
      <c r="T41" s="96"/>
      <c r="U41" s="97"/>
      <c r="V41" s="95"/>
      <c r="W41" s="96"/>
      <c r="X41" s="97"/>
      <c r="Y41" s="95"/>
      <c r="Z41" s="96"/>
      <c r="AA41" s="97"/>
      <c r="AB41" s="95"/>
      <c r="AC41" s="96"/>
      <c r="AD41" s="97"/>
      <c r="AE41" s="95"/>
      <c r="AF41" s="96"/>
      <c r="AG41" s="105"/>
      <c r="AH41" s="231">
        <f>+Janvier!AJ41</f>
        <v>1769.7115384615383</v>
      </c>
      <c r="AI41" s="231">
        <f>+Janvier!AK41</f>
        <v>5505.7692307692305</v>
      </c>
      <c r="AJ41" s="231">
        <f>+Janvier!AL41</f>
        <v>4129.3269230769229</v>
      </c>
      <c r="AK41" s="231">
        <f>+Janvier!AM41</f>
        <v>4129.3269230769229</v>
      </c>
      <c r="AL41" s="231">
        <f>+Janvier!AN41</f>
        <v>2502.6223776223778</v>
      </c>
      <c r="AM41" s="231">
        <f>+Janvier!AO41</f>
        <v>1548.4975961538462</v>
      </c>
      <c r="AN41" s="231">
        <f>+Janvier!AP41</f>
        <v>3096.9951923076924</v>
      </c>
      <c r="AO41" s="231">
        <f>+Janvier!AQ41</f>
        <v>1548.4975961538462</v>
      </c>
      <c r="AP41" s="231">
        <f>+Janvier!AR41</f>
        <v>1548.4975961538462</v>
      </c>
      <c r="AQ41" s="231">
        <f>+Janvier!AS41</f>
        <v>2752.8846153846152</v>
      </c>
      <c r="AR41" s="16">
        <f t="shared" ref="AR41:AR53" si="78">ROUND(E41/(AH41/5),0)</f>
        <v>0</v>
      </c>
      <c r="AS41" s="16">
        <f t="shared" ref="AS41:AS53" si="79">ROUND(H41/(AI41/5),0)</f>
        <v>0</v>
      </c>
      <c r="AT41" s="16">
        <f t="shared" ref="AT41:AT53" si="80">ROUND(K41/(AJ41/5),0)</f>
        <v>0</v>
      </c>
      <c r="AU41" s="16">
        <f t="shared" ref="AU41:AU53" si="81">ROUND(N41/(AK41/5),0)</f>
        <v>0</v>
      </c>
      <c r="AV41" s="16">
        <f t="shared" ref="AV41:AV53" si="82">ROUND(Q41/(AL41/5),0)</f>
        <v>0</v>
      </c>
      <c r="AW41" s="16">
        <f t="shared" ref="AW41:AW53" si="83">ROUND(T41/(AM41/5),0)</f>
        <v>0</v>
      </c>
      <c r="AX41" s="16">
        <f t="shared" ref="AX41:AX53" si="84">ROUND(W41/(AN41/5),0)</f>
        <v>0</v>
      </c>
      <c r="AY41" s="16">
        <f t="shared" ref="AY41:AY53" si="85">ROUND(Z41/(AO41/5),0)</f>
        <v>0</v>
      </c>
      <c r="AZ41" s="16">
        <f t="shared" ref="AZ41:AZ53" si="86">ROUND(AC41/(AP41/5),0)</f>
        <v>0</v>
      </c>
      <c r="BA41" s="17">
        <f t="shared" ref="BA41:BA53" si="87">ROUND(AF41/(AQ41/5),0)</f>
        <v>0</v>
      </c>
    </row>
    <row r="42" spans="1:53" ht="15.6" x14ac:dyDescent="0.3">
      <c r="A42" s="199" t="s">
        <v>45</v>
      </c>
      <c r="B42" s="94"/>
      <c r="C42" s="94"/>
      <c r="D42" s="107"/>
      <c r="E42" s="96"/>
      <c r="F42" s="97"/>
      <c r="G42" s="95"/>
      <c r="H42" s="96"/>
      <c r="I42" s="105"/>
      <c r="J42" s="95"/>
      <c r="K42" s="96"/>
      <c r="L42" s="97"/>
      <c r="M42" s="95"/>
      <c r="N42" s="96"/>
      <c r="O42" s="97"/>
      <c r="P42" s="95"/>
      <c r="Q42" s="96"/>
      <c r="R42" s="97"/>
      <c r="S42" s="95"/>
      <c r="T42" s="96"/>
      <c r="U42" s="97"/>
      <c r="V42" s="95"/>
      <c r="W42" s="96"/>
      <c r="X42" s="97"/>
      <c r="Y42" s="95"/>
      <c r="Z42" s="96"/>
      <c r="AA42" s="97"/>
      <c r="AB42" s="95"/>
      <c r="AC42" s="96"/>
      <c r="AD42" s="97"/>
      <c r="AE42" s="95"/>
      <c r="AF42" s="96"/>
      <c r="AG42" s="105"/>
      <c r="AH42" s="231">
        <f>+Janvier!AJ42</f>
        <v>499.20329670329681</v>
      </c>
      <c r="AI42" s="231">
        <f>+Janvier!AK42</f>
        <v>1553.0769230769233</v>
      </c>
      <c r="AJ42" s="231">
        <f>+Janvier!AL42</f>
        <v>1164.8076923076926</v>
      </c>
      <c r="AK42" s="231">
        <f>+Janvier!AM42</f>
        <v>1164.8076923076926</v>
      </c>
      <c r="AL42" s="231">
        <f>+Janvier!AN42</f>
        <v>705.944055944056</v>
      </c>
      <c r="AM42" s="231">
        <f>+Janvier!AO42</f>
        <v>436.80288461538458</v>
      </c>
      <c r="AN42" s="231">
        <f>+Janvier!AP42</f>
        <v>873.60576923076917</v>
      </c>
      <c r="AO42" s="231">
        <f>+Janvier!AQ42</f>
        <v>436.80288461538458</v>
      </c>
      <c r="AP42" s="231">
        <f>+Janvier!AR42</f>
        <v>436.80288461538458</v>
      </c>
      <c r="AQ42" s="231">
        <f>+Janvier!AS42</f>
        <v>776.53846153846166</v>
      </c>
      <c r="AR42" s="16">
        <f t="shared" si="78"/>
        <v>0</v>
      </c>
      <c r="AS42" s="16">
        <f t="shared" si="79"/>
        <v>0</v>
      </c>
      <c r="AT42" s="16">
        <f t="shared" si="80"/>
        <v>0</v>
      </c>
      <c r="AU42" s="16">
        <f t="shared" si="81"/>
        <v>0</v>
      </c>
      <c r="AV42" s="16">
        <f t="shared" si="82"/>
        <v>0</v>
      </c>
      <c r="AW42" s="16">
        <f t="shared" si="83"/>
        <v>0</v>
      </c>
      <c r="AX42" s="16">
        <f t="shared" si="84"/>
        <v>0</v>
      </c>
      <c r="AY42" s="16">
        <f t="shared" si="85"/>
        <v>0</v>
      </c>
      <c r="AZ42" s="16">
        <f t="shared" si="86"/>
        <v>0</v>
      </c>
      <c r="BA42" s="17">
        <f t="shared" si="87"/>
        <v>0</v>
      </c>
    </row>
    <row r="43" spans="1:53" ht="15.6" x14ac:dyDescent="0.3">
      <c r="A43" s="199" t="s">
        <v>46</v>
      </c>
      <c r="B43" s="94"/>
      <c r="C43" s="94"/>
      <c r="D43" s="107"/>
      <c r="E43" s="96"/>
      <c r="F43" s="97"/>
      <c r="G43" s="95"/>
      <c r="H43" s="96"/>
      <c r="I43" s="105"/>
      <c r="J43" s="95"/>
      <c r="K43" s="96"/>
      <c r="L43" s="97"/>
      <c r="M43" s="95"/>
      <c r="N43" s="96"/>
      <c r="O43" s="97"/>
      <c r="P43" s="95"/>
      <c r="Q43" s="96"/>
      <c r="R43" s="97"/>
      <c r="S43" s="95"/>
      <c r="T43" s="96"/>
      <c r="U43" s="97"/>
      <c r="V43" s="95"/>
      <c r="W43" s="96"/>
      <c r="X43" s="97"/>
      <c r="Y43" s="95"/>
      <c r="Z43" s="96"/>
      <c r="AA43" s="97"/>
      <c r="AB43" s="95"/>
      <c r="AC43" s="96"/>
      <c r="AD43" s="97"/>
      <c r="AE43" s="95"/>
      <c r="AF43" s="96"/>
      <c r="AG43" s="105"/>
      <c r="AH43" s="231">
        <f>+Janvier!AJ43</f>
        <v>3075.0824175824173</v>
      </c>
      <c r="AI43" s="231">
        <f>+Janvier!AK43</f>
        <v>9566.923076923078</v>
      </c>
      <c r="AJ43" s="231">
        <f>+Janvier!AL43</f>
        <v>7175.1923076923067</v>
      </c>
      <c r="AK43" s="231">
        <f>+Janvier!AM43</f>
        <v>7175.1923076923067</v>
      </c>
      <c r="AL43" s="231">
        <f>+Janvier!AN43</f>
        <v>4348.6013986013986</v>
      </c>
      <c r="AM43" s="231">
        <f>+Janvier!AO43</f>
        <v>2690.6971153846152</v>
      </c>
      <c r="AN43" s="231">
        <f>+Janvier!AP43</f>
        <v>5381.3942307692305</v>
      </c>
      <c r="AO43" s="231">
        <f>+Janvier!AQ43</f>
        <v>2690.6971153846152</v>
      </c>
      <c r="AP43" s="231">
        <f>+Janvier!AR43</f>
        <v>2690.6971153846152</v>
      </c>
      <c r="AQ43" s="231">
        <f>+Janvier!AS43</f>
        <v>4783.461538461539</v>
      </c>
      <c r="AR43" s="16">
        <f t="shared" si="78"/>
        <v>0</v>
      </c>
      <c r="AS43" s="16">
        <f t="shared" si="79"/>
        <v>0</v>
      </c>
      <c r="AT43" s="16">
        <f t="shared" si="80"/>
        <v>0</v>
      </c>
      <c r="AU43" s="16">
        <f t="shared" si="81"/>
        <v>0</v>
      </c>
      <c r="AV43" s="16">
        <f t="shared" si="82"/>
        <v>0</v>
      </c>
      <c r="AW43" s="16">
        <f t="shared" si="83"/>
        <v>0</v>
      </c>
      <c r="AX43" s="16">
        <f t="shared" si="84"/>
        <v>0</v>
      </c>
      <c r="AY43" s="16">
        <f t="shared" si="85"/>
        <v>0</v>
      </c>
      <c r="AZ43" s="16">
        <f t="shared" si="86"/>
        <v>0</v>
      </c>
      <c r="BA43" s="17">
        <f t="shared" si="87"/>
        <v>0</v>
      </c>
    </row>
    <row r="44" spans="1:53" ht="15.6" x14ac:dyDescent="0.3">
      <c r="A44" s="199" t="s">
        <v>47</v>
      </c>
      <c r="B44" s="94"/>
      <c r="C44" s="94"/>
      <c r="D44" s="107"/>
      <c r="E44" s="96"/>
      <c r="F44" s="97"/>
      <c r="G44" s="95"/>
      <c r="H44" s="96"/>
      <c r="I44" s="105"/>
      <c r="J44" s="95"/>
      <c r="K44" s="96"/>
      <c r="L44" s="97"/>
      <c r="M44" s="95"/>
      <c r="N44" s="96"/>
      <c r="O44" s="97"/>
      <c r="P44" s="95"/>
      <c r="Q44" s="96"/>
      <c r="R44" s="97"/>
      <c r="S44" s="95"/>
      <c r="T44" s="96"/>
      <c r="U44" s="97"/>
      <c r="V44" s="95"/>
      <c r="W44" s="96"/>
      <c r="X44" s="97"/>
      <c r="Y44" s="95"/>
      <c r="Z44" s="96"/>
      <c r="AA44" s="97"/>
      <c r="AB44" s="95"/>
      <c r="AC44" s="96"/>
      <c r="AD44" s="97"/>
      <c r="AE44" s="95"/>
      <c r="AF44" s="96"/>
      <c r="AG44" s="105"/>
      <c r="AH44" s="231">
        <f>+Janvier!AJ44</f>
        <v>2324.2994505494512</v>
      </c>
      <c r="AI44" s="231">
        <f>+Janvier!AK44</f>
        <v>7231.1538461538476</v>
      </c>
      <c r="AJ44" s="231">
        <f>+Janvier!AL44</f>
        <v>5423.3653846153857</v>
      </c>
      <c r="AK44" s="231">
        <f>+Janvier!AM44</f>
        <v>5423.3653846153857</v>
      </c>
      <c r="AL44" s="231">
        <f>+Janvier!AN44</f>
        <v>3286.8881118881118</v>
      </c>
      <c r="AM44" s="231">
        <f>+Janvier!AO44</f>
        <v>2033.7620192307693</v>
      </c>
      <c r="AN44" s="231">
        <f>+Janvier!AP44</f>
        <v>4067.5240384615386</v>
      </c>
      <c r="AO44" s="231">
        <f>+Janvier!AQ44</f>
        <v>2033.7620192307693</v>
      </c>
      <c r="AP44" s="231">
        <f>+Janvier!AR44</f>
        <v>2033.7620192307693</v>
      </c>
      <c r="AQ44" s="231">
        <f>+Janvier!AS44</f>
        <v>3615.5769230769238</v>
      </c>
      <c r="AR44" s="16">
        <f t="shared" si="78"/>
        <v>0</v>
      </c>
      <c r="AS44" s="16">
        <f t="shared" si="79"/>
        <v>0</v>
      </c>
      <c r="AT44" s="16">
        <f t="shared" si="80"/>
        <v>0</v>
      </c>
      <c r="AU44" s="16">
        <f t="shared" si="81"/>
        <v>0</v>
      </c>
      <c r="AV44" s="16">
        <f t="shared" si="82"/>
        <v>0</v>
      </c>
      <c r="AW44" s="16">
        <f t="shared" si="83"/>
        <v>0</v>
      </c>
      <c r="AX44" s="16">
        <f t="shared" si="84"/>
        <v>0</v>
      </c>
      <c r="AY44" s="16">
        <f t="shared" si="85"/>
        <v>0</v>
      </c>
      <c r="AZ44" s="16">
        <f t="shared" si="86"/>
        <v>0</v>
      </c>
      <c r="BA44" s="17">
        <f t="shared" si="87"/>
        <v>0</v>
      </c>
    </row>
    <row r="45" spans="1:53" ht="15.6" x14ac:dyDescent="0.3">
      <c r="A45" s="199" t="s">
        <v>48</v>
      </c>
      <c r="B45" s="94"/>
      <c r="C45" s="94"/>
      <c r="D45" s="107"/>
      <c r="E45" s="96"/>
      <c r="F45" s="97"/>
      <c r="G45" s="95"/>
      <c r="H45" s="96"/>
      <c r="I45" s="105"/>
      <c r="J45" s="95"/>
      <c r="K45" s="96"/>
      <c r="L45" s="97"/>
      <c r="M45" s="95"/>
      <c r="N45" s="96"/>
      <c r="O45" s="97"/>
      <c r="P45" s="95"/>
      <c r="Q45" s="96"/>
      <c r="R45" s="97"/>
      <c r="S45" s="95"/>
      <c r="T45" s="96"/>
      <c r="U45" s="97"/>
      <c r="V45" s="95"/>
      <c r="W45" s="96"/>
      <c r="X45" s="97"/>
      <c r="Y45" s="95"/>
      <c r="Z45" s="96"/>
      <c r="AA45" s="97"/>
      <c r="AB45" s="95"/>
      <c r="AC45" s="96"/>
      <c r="AD45" s="97"/>
      <c r="AE45" s="95"/>
      <c r="AF45" s="96"/>
      <c r="AG45" s="105"/>
      <c r="AH45" s="231">
        <f>+Janvier!AJ45</f>
        <v>2327.5137362637361</v>
      </c>
      <c r="AI45" s="231">
        <f>+Janvier!AK45</f>
        <v>7241.1538461538466</v>
      </c>
      <c r="AJ45" s="231">
        <f>+Janvier!AL45</f>
        <v>5430.8653846153829</v>
      </c>
      <c r="AK45" s="231">
        <f>+Janvier!AM45</f>
        <v>5430.8653846153829</v>
      </c>
      <c r="AL45" s="231">
        <f>+Janvier!AN45</f>
        <v>3291.4335664335663</v>
      </c>
      <c r="AM45" s="231">
        <f>+Janvier!AO45</f>
        <v>2036.5745192307693</v>
      </c>
      <c r="AN45" s="231">
        <f>+Janvier!AP45</f>
        <v>4073.1490384615386</v>
      </c>
      <c r="AO45" s="231">
        <f>+Janvier!AQ45</f>
        <v>2036.5745192307693</v>
      </c>
      <c r="AP45" s="231">
        <f>+Janvier!AR45</f>
        <v>2036.5745192307693</v>
      </c>
      <c r="AQ45" s="231">
        <f>+Janvier!AS45</f>
        <v>3620.5769230769233</v>
      </c>
      <c r="AR45" s="16">
        <f t="shared" si="78"/>
        <v>0</v>
      </c>
      <c r="AS45" s="16">
        <f t="shared" si="79"/>
        <v>0</v>
      </c>
      <c r="AT45" s="16">
        <f t="shared" si="80"/>
        <v>0</v>
      </c>
      <c r="AU45" s="16">
        <f t="shared" si="81"/>
        <v>0</v>
      </c>
      <c r="AV45" s="16">
        <f t="shared" si="82"/>
        <v>0</v>
      </c>
      <c r="AW45" s="16">
        <f t="shared" si="83"/>
        <v>0</v>
      </c>
      <c r="AX45" s="16">
        <f t="shared" si="84"/>
        <v>0</v>
      </c>
      <c r="AY45" s="16">
        <f t="shared" si="85"/>
        <v>0</v>
      </c>
      <c r="AZ45" s="16">
        <f t="shared" si="86"/>
        <v>0</v>
      </c>
      <c r="BA45" s="17">
        <f t="shared" si="87"/>
        <v>0</v>
      </c>
    </row>
    <row r="46" spans="1:53" ht="15.6" x14ac:dyDescent="0.3">
      <c r="A46" s="199" t="s">
        <v>49</v>
      </c>
      <c r="B46" s="94"/>
      <c r="C46" s="94"/>
      <c r="D46" s="107"/>
      <c r="E46" s="96"/>
      <c r="F46" s="97"/>
      <c r="G46" s="95"/>
      <c r="H46" s="96"/>
      <c r="I46" s="105"/>
      <c r="J46" s="95"/>
      <c r="K46" s="96"/>
      <c r="L46" s="97"/>
      <c r="M46" s="95"/>
      <c r="N46" s="96"/>
      <c r="O46" s="97"/>
      <c r="P46" s="95"/>
      <c r="Q46" s="96"/>
      <c r="R46" s="97"/>
      <c r="S46" s="95"/>
      <c r="T46" s="96"/>
      <c r="U46" s="97"/>
      <c r="V46" s="95"/>
      <c r="W46" s="96"/>
      <c r="X46" s="97"/>
      <c r="Y46" s="95"/>
      <c r="Z46" s="96"/>
      <c r="AA46" s="97"/>
      <c r="AB46" s="95"/>
      <c r="AC46" s="96"/>
      <c r="AD46" s="97"/>
      <c r="AE46" s="95"/>
      <c r="AF46" s="96"/>
      <c r="AG46" s="105"/>
      <c r="AH46" s="231">
        <f>+Janvier!AJ46</f>
        <v>2160.3708791208792</v>
      </c>
      <c r="AI46" s="231">
        <f>+Janvier!AK46</f>
        <v>6721.1538461538466</v>
      </c>
      <c r="AJ46" s="231">
        <f>+Janvier!AL46</f>
        <v>5040.8653846153848</v>
      </c>
      <c r="AK46" s="231">
        <f>+Janvier!AM46</f>
        <v>5040.8653846153848</v>
      </c>
      <c r="AL46" s="231">
        <f>+Janvier!AN46</f>
        <v>3055.0699300699303</v>
      </c>
      <c r="AM46" s="231">
        <f>+Janvier!AO46</f>
        <v>1890.3245192307693</v>
      </c>
      <c r="AN46" s="231">
        <f>+Janvier!AP46</f>
        <v>3780.6490384615386</v>
      </c>
      <c r="AO46" s="231">
        <f>+Janvier!AQ46</f>
        <v>1890.3245192307693</v>
      </c>
      <c r="AP46" s="231">
        <f>+Janvier!AR46</f>
        <v>1890.3245192307693</v>
      </c>
      <c r="AQ46" s="231">
        <f>+Janvier!AS46</f>
        <v>3360.5769230769233</v>
      </c>
      <c r="AR46" s="16">
        <f t="shared" si="78"/>
        <v>0</v>
      </c>
      <c r="AS46" s="16">
        <f t="shared" si="79"/>
        <v>0</v>
      </c>
      <c r="AT46" s="16">
        <f t="shared" si="80"/>
        <v>0</v>
      </c>
      <c r="AU46" s="16">
        <f t="shared" si="81"/>
        <v>0</v>
      </c>
      <c r="AV46" s="16">
        <f t="shared" si="82"/>
        <v>0</v>
      </c>
      <c r="AW46" s="16">
        <f t="shared" si="83"/>
        <v>0</v>
      </c>
      <c r="AX46" s="16">
        <f t="shared" si="84"/>
        <v>0</v>
      </c>
      <c r="AY46" s="16">
        <f t="shared" si="85"/>
        <v>0</v>
      </c>
      <c r="AZ46" s="16">
        <f t="shared" si="86"/>
        <v>0</v>
      </c>
      <c r="BA46" s="17">
        <f t="shared" si="87"/>
        <v>0</v>
      </c>
    </row>
    <row r="47" spans="1:53" ht="15.6" x14ac:dyDescent="0.3">
      <c r="A47" s="199" t="s">
        <v>50</v>
      </c>
      <c r="B47" s="94"/>
      <c r="C47" s="94"/>
      <c r="D47" s="107"/>
      <c r="E47" s="96"/>
      <c r="F47" s="97"/>
      <c r="G47" s="95"/>
      <c r="H47" s="96"/>
      <c r="I47" s="105"/>
      <c r="J47" s="95"/>
      <c r="K47" s="96"/>
      <c r="L47" s="97"/>
      <c r="M47" s="95"/>
      <c r="N47" s="96"/>
      <c r="O47" s="97"/>
      <c r="P47" s="95"/>
      <c r="Q47" s="96"/>
      <c r="R47" s="97"/>
      <c r="S47" s="95"/>
      <c r="T47" s="96"/>
      <c r="U47" s="97"/>
      <c r="V47" s="95"/>
      <c r="W47" s="96"/>
      <c r="X47" s="97"/>
      <c r="Y47" s="95"/>
      <c r="Z47" s="96"/>
      <c r="AA47" s="97"/>
      <c r="AB47" s="95"/>
      <c r="AC47" s="96"/>
      <c r="AD47" s="97"/>
      <c r="AE47" s="95"/>
      <c r="AF47" s="96"/>
      <c r="AG47" s="105"/>
      <c r="AH47" s="231">
        <f>+Janvier!AJ47</f>
        <v>3766.7719780219786</v>
      </c>
      <c r="AI47" s="231">
        <f>+Janvier!AK47</f>
        <v>11718.846153846154</v>
      </c>
      <c r="AJ47" s="231">
        <f>+Janvier!AL47</f>
        <v>8789.1346153846171</v>
      </c>
      <c r="AK47" s="231">
        <f>+Janvier!AM47</f>
        <v>8789.1346153846171</v>
      </c>
      <c r="AL47" s="231">
        <f>+Janvier!AN47</f>
        <v>5326.7482517482513</v>
      </c>
      <c r="AM47" s="231">
        <f>+Janvier!AO47</f>
        <v>3295.9254807692309</v>
      </c>
      <c r="AN47" s="231">
        <f>+Janvier!AP47</f>
        <v>6591.8509615384619</v>
      </c>
      <c r="AO47" s="231">
        <f>+Janvier!AQ47</f>
        <v>3295.9254807692309</v>
      </c>
      <c r="AP47" s="231">
        <f>+Janvier!AR47</f>
        <v>3295.9254807692309</v>
      </c>
      <c r="AQ47" s="231">
        <f>+Janvier!AS47</f>
        <v>5859.4230769230771</v>
      </c>
      <c r="AR47" s="16">
        <f t="shared" si="78"/>
        <v>0</v>
      </c>
      <c r="AS47" s="16">
        <f t="shared" si="79"/>
        <v>0</v>
      </c>
      <c r="AT47" s="16">
        <f t="shared" si="80"/>
        <v>0</v>
      </c>
      <c r="AU47" s="16">
        <f t="shared" si="81"/>
        <v>0</v>
      </c>
      <c r="AV47" s="16">
        <f t="shared" si="82"/>
        <v>0</v>
      </c>
      <c r="AW47" s="16">
        <f t="shared" si="83"/>
        <v>0</v>
      </c>
      <c r="AX47" s="16">
        <f t="shared" si="84"/>
        <v>0</v>
      </c>
      <c r="AY47" s="16">
        <f t="shared" si="85"/>
        <v>0</v>
      </c>
      <c r="AZ47" s="16">
        <f t="shared" si="86"/>
        <v>0</v>
      </c>
      <c r="BA47" s="17">
        <f t="shared" si="87"/>
        <v>0</v>
      </c>
    </row>
    <row r="48" spans="1:53" ht="15.6" x14ac:dyDescent="0.3">
      <c r="A48" s="199" t="s">
        <v>56</v>
      </c>
      <c r="B48" s="94"/>
      <c r="C48" s="94"/>
      <c r="D48" s="107"/>
      <c r="E48" s="96"/>
      <c r="F48" s="97"/>
      <c r="G48" s="95"/>
      <c r="H48" s="96"/>
      <c r="I48" s="105"/>
      <c r="J48" s="95"/>
      <c r="K48" s="96"/>
      <c r="L48" s="97"/>
      <c r="M48" s="95"/>
      <c r="N48" s="96"/>
      <c r="O48" s="97"/>
      <c r="P48" s="95"/>
      <c r="Q48" s="96"/>
      <c r="R48" s="97"/>
      <c r="S48" s="95"/>
      <c r="T48" s="96"/>
      <c r="U48" s="97"/>
      <c r="V48" s="95"/>
      <c r="W48" s="96"/>
      <c r="X48" s="97"/>
      <c r="Y48" s="95"/>
      <c r="Z48" s="96"/>
      <c r="AA48" s="97"/>
      <c r="AB48" s="95"/>
      <c r="AC48" s="96"/>
      <c r="AD48" s="97"/>
      <c r="AE48" s="95"/>
      <c r="AF48" s="96"/>
      <c r="AG48" s="105"/>
      <c r="AH48" s="231">
        <f>+Janvier!AJ48</f>
        <v>1604.6703296703297</v>
      </c>
      <c r="AI48" s="231">
        <f>+Janvier!AK48</f>
        <v>4992.3076923076924</v>
      </c>
      <c r="AJ48" s="231">
        <f>+Janvier!AL48</f>
        <v>3744.2307692307691</v>
      </c>
      <c r="AK48" s="231">
        <f>+Janvier!AM48</f>
        <v>3744.2307692307691</v>
      </c>
      <c r="AL48" s="231">
        <f>+Janvier!AN48</f>
        <v>2269.2307692307695</v>
      </c>
      <c r="AM48" s="231">
        <f>+Janvier!AO48</f>
        <v>1404.0865384615383</v>
      </c>
      <c r="AN48" s="231">
        <f>+Janvier!AP48</f>
        <v>2808.1730769230767</v>
      </c>
      <c r="AO48" s="231">
        <f>+Janvier!AQ48</f>
        <v>1404.0865384615383</v>
      </c>
      <c r="AP48" s="231">
        <f>+Janvier!AR48</f>
        <v>1404.0865384615383</v>
      </c>
      <c r="AQ48" s="231">
        <f>+Janvier!AS48</f>
        <v>2496.1538461538462</v>
      </c>
      <c r="AR48" s="16">
        <f t="shared" si="78"/>
        <v>0</v>
      </c>
      <c r="AS48" s="16">
        <f t="shared" si="79"/>
        <v>0</v>
      </c>
      <c r="AT48" s="16">
        <f t="shared" si="80"/>
        <v>0</v>
      </c>
      <c r="AU48" s="16">
        <f t="shared" si="81"/>
        <v>0</v>
      </c>
      <c r="AV48" s="16">
        <f t="shared" si="82"/>
        <v>0</v>
      </c>
      <c r="AW48" s="16">
        <f t="shared" si="83"/>
        <v>0</v>
      </c>
      <c r="AX48" s="16">
        <f t="shared" si="84"/>
        <v>0</v>
      </c>
      <c r="AY48" s="16">
        <f t="shared" si="85"/>
        <v>0</v>
      </c>
      <c r="AZ48" s="16">
        <f t="shared" si="86"/>
        <v>0</v>
      </c>
      <c r="BA48" s="17">
        <f t="shared" si="87"/>
        <v>0</v>
      </c>
    </row>
    <row r="49" spans="1:53" ht="15.6" x14ac:dyDescent="0.3">
      <c r="A49" s="199" t="s">
        <v>51</v>
      </c>
      <c r="B49" s="94"/>
      <c r="C49" s="94"/>
      <c r="D49" s="107"/>
      <c r="E49" s="96"/>
      <c r="F49" s="97"/>
      <c r="G49" s="95"/>
      <c r="H49" s="96"/>
      <c r="I49" s="105"/>
      <c r="J49" s="95"/>
      <c r="K49" s="96"/>
      <c r="L49" s="97"/>
      <c r="M49" s="95"/>
      <c r="N49" s="96"/>
      <c r="O49" s="97"/>
      <c r="P49" s="95"/>
      <c r="Q49" s="96"/>
      <c r="R49" s="97"/>
      <c r="S49" s="95"/>
      <c r="T49" s="96"/>
      <c r="U49" s="97"/>
      <c r="V49" s="95"/>
      <c r="W49" s="96"/>
      <c r="X49" s="97"/>
      <c r="Y49" s="95"/>
      <c r="Z49" s="96"/>
      <c r="AA49" s="97"/>
      <c r="AB49" s="95"/>
      <c r="AC49" s="96"/>
      <c r="AD49" s="97"/>
      <c r="AE49" s="95"/>
      <c r="AF49" s="96"/>
      <c r="AG49" s="105"/>
      <c r="AH49" s="231">
        <f>+Janvier!AJ49</f>
        <v>1032.2802197802198</v>
      </c>
      <c r="AI49" s="231">
        <f>+Janvier!AK49</f>
        <v>3211.5384615384614</v>
      </c>
      <c r="AJ49" s="231">
        <f>+Janvier!AL49</f>
        <v>2408.6538461538462</v>
      </c>
      <c r="AK49" s="231">
        <f>+Janvier!AM49</f>
        <v>2408.6538461538462</v>
      </c>
      <c r="AL49" s="231">
        <f>+Janvier!AN49</f>
        <v>1459.7902097902099</v>
      </c>
      <c r="AM49" s="231">
        <f>+Janvier!AO49</f>
        <v>903.24519230769226</v>
      </c>
      <c r="AN49" s="231">
        <f>+Janvier!AP49</f>
        <v>1806.4903846153845</v>
      </c>
      <c r="AO49" s="231">
        <f>+Janvier!AQ49</f>
        <v>903.24519230769226</v>
      </c>
      <c r="AP49" s="231">
        <f>+Janvier!AR49</f>
        <v>903.24519230769226</v>
      </c>
      <c r="AQ49" s="231">
        <f>+Janvier!AS49</f>
        <v>1605.7692307692307</v>
      </c>
      <c r="AR49" s="16">
        <f t="shared" si="78"/>
        <v>0</v>
      </c>
      <c r="AS49" s="16">
        <f t="shared" si="79"/>
        <v>0</v>
      </c>
      <c r="AT49" s="16">
        <f t="shared" si="80"/>
        <v>0</v>
      </c>
      <c r="AU49" s="16">
        <f t="shared" si="81"/>
        <v>0</v>
      </c>
      <c r="AV49" s="16">
        <f t="shared" si="82"/>
        <v>0</v>
      </c>
      <c r="AW49" s="16">
        <f t="shared" si="83"/>
        <v>0</v>
      </c>
      <c r="AX49" s="16">
        <f t="shared" si="84"/>
        <v>0</v>
      </c>
      <c r="AY49" s="16">
        <f t="shared" si="85"/>
        <v>0</v>
      </c>
      <c r="AZ49" s="16">
        <f t="shared" si="86"/>
        <v>0</v>
      </c>
      <c r="BA49" s="17">
        <f t="shared" si="87"/>
        <v>0</v>
      </c>
    </row>
    <row r="50" spans="1:53" ht="15.6" x14ac:dyDescent="0.3">
      <c r="A50" s="199" t="s">
        <v>52</v>
      </c>
      <c r="B50" s="94"/>
      <c r="C50" s="94"/>
      <c r="D50" s="107"/>
      <c r="E50" s="96"/>
      <c r="F50" s="97"/>
      <c r="G50" s="95"/>
      <c r="H50" s="96"/>
      <c r="I50" s="105"/>
      <c r="J50" s="95"/>
      <c r="K50" s="96"/>
      <c r="L50" s="97"/>
      <c r="M50" s="95"/>
      <c r="N50" s="96"/>
      <c r="O50" s="97"/>
      <c r="P50" s="95"/>
      <c r="Q50" s="96"/>
      <c r="R50" s="97"/>
      <c r="S50" s="95"/>
      <c r="T50" s="96"/>
      <c r="U50" s="97"/>
      <c r="V50" s="95"/>
      <c r="W50" s="96"/>
      <c r="X50" s="97"/>
      <c r="Y50" s="95"/>
      <c r="Z50" s="96"/>
      <c r="AA50" s="97"/>
      <c r="AB50" s="95"/>
      <c r="AC50" s="96"/>
      <c r="AD50" s="97"/>
      <c r="AE50" s="95"/>
      <c r="AF50" s="96"/>
      <c r="AG50" s="105"/>
      <c r="AH50" s="231">
        <f>+Janvier!AJ50</f>
        <v>2981.6208791208792</v>
      </c>
      <c r="AI50" s="231">
        <f>+Janvier!AK50</f>
        <v>9276.1538461538476</v>
      </c>
      <c r="AJ50" s="231">
        <f>+Janvier!AL50</f>
        <v>6957.1153846153857</v>
      </c>
      <c r="AK50" s="231">
        <f>+Janvier!AM50</f>
        <v>6957.1153846153857</v>
      </c>
      <c r="AL50" s="231">
        <f>+Janvier!AN50</f>
        <v>4216.4335664335667</v>
      </c>
      <c r="AM50" s="231">
        <f>+Janvier!AO50</f>
        <v>2608.9182692307691</v>
      </c>
      <c r="AN50" s="231">
        <f>+Janvier!AP50</f>
        <v>5217.8365384615381</v>
      </c>
      <c r="AO50" s="231">
        <f>+Janvier!AQ50</f>
        <v>2608.9182692307691</v>
      </c>
      <c r="AP50" s="231">
        <f>+Janvier!AR50</f>
        <v>2608.9182692307691</v>
      </c>
      <c r="AQ50" s="231">
        <f>+Janvier!AS50</f>
        <v>4638.0769230769238</v>
      </c>
      <c r="AR50" s="16">
        <f t="shared" si="78"/>
        <v>0</v>
      </c>
      <c r="AS50" s="16">
        <f t="shared" si="79"/>
        <v>0</v>
      </c>
      <c r="AT50" s="16">
        <f t="shared" si="80"/>
        <v>0</v>
      </c>
      <c r="AU50" s="16">
        <f t="shared" si="81"/>
        <v>0</v>
      </c>
      <c r="AV50" s="16">
        <f t="shared" si="82"/>
        <v>0</v>
      </c>
      <c r="AW50" s="16">
        <f t="shared" si="83"/>
        <v>0</v>
      </c>
      <c r="AX50" s="16">
        <f t="shared" si="84"/>
        <v>0</v>
      </c>
      <c r="AY50" s="16">
        <f t="shared" si="85"/>
        <v>0</v>
      </c>
      <c r="AZ50" s="16">
        <f t="shared" si="86"/>
        <v>0</v>
      </c>
      <c r="BA50" s="17">
        <f t="shared" si="87"/>
        <v>0</v>
      </c>
    </row>
    <row r="51" spans="1:53" ht="15.6" x14ac:dyDescent="0.3">
      <c r="A51" s="199" t="s">
        <v>53</v>
      </c>
      <c r="B51" s="94"/>
      <c r="C51" s="94"/>
      <c r="D51" s="107"/>
      <c r="E51" s="96"/>
      <c r="F51" s="97"/>
      <c r="G51" s="95"/>
      <c r="H51" s="96"/>
      <c r="I51" s="105"/>
      <c r="J51" s="95"/>
      <c r="K51" s="96"/>
      <c r="L51" s="97"/>
      <c r="M51" s="95"/>
      <c r="N51" s="96"/>
      <c r="O51" s="97"/>
      <c r="P51" s="95"/>
      <c r="Q51" s="96"/>
      <c r="R51" s="97"/>
      <c r="S51" s="95"/>
      <c r="T51" s="96"/>
      <c r="U51" s="97"/>
      <c r="V51" s="95"/>
      <c r="W51" s="96"/>
      <c r="X51" s="97"/>
      <c r="Y51" s="95"/>
      <c r="Z51" s="96"/>
      <c r="AA51" s="97"/>
      <c r="AB51" s="95"/>
      <c r="AC51" s="96"/>
      <c r="AD51" s="97"/>
      <c r="AE51" s="95"/>
      <c r="AF51" s="96"/>
      <c r="AG51" s="105"/>
      <c r="AH51" s="231">
        <f>+Janvier!AJ51</f>
        <v>168.87362637362639</v>
      </c>
      <c r="AI51" s="231">
        <f>+Janvier!AK51</f>
        <v>525.38461538461547</v>
      </c>
      <c r="AJ51" s="231">
        <f>+Janvier!AL51</f>
        <v>394.0384615384616</v>
      </c>
      <c r="AK51" s="231">
        <f>+Janvier!AM51</f>
        <v>394.0384615384616</v>
      </c>
      <c r="AL51" s="231">
        <f>+Janvier!AN51</f>
        <v>238.81118881118883</v>
      </c>
      <c r="AM51" s="231">
        <f>+Janvier!AO51</f>
        <v>147.76442307692309</v>
      </c>
      <c r="AN51" s="231">
        <f>+Janvier!AP51</f>
        <v>295.52884615384619</v>
      </c>
      <c r="AO51" s="231">
        <f>+Janvier!AQ51</f>
        <v>147.76442307692309</v>
      </c>
      <c r="AP51" s="231">
        <f>+Janvier!AR51</f>
        <v>147.76442307692309</v>
      </c>
      <c r="AQ51" s="231">
        <f>+Janvier!AS51</f>
        <v>262.69230769230774</v>
      </c>
      <c r="AR51" s="16">
        <f t="shared" si="78"/>
        <v>0</v>
      </c>
      <c r="AS51" s="16">
        <f t="shared" si="79"/>
        <v>0</v>
      </c>
      <c r="AT51" s="16">
        <f t="shared" si="80"/>
        <v>0</v>
      </c>
      <c r="AU51" s="16">
        <f t="shared" si="81"/>
        <v>0</v>
      </c>
      <c r="AV51" s="16">
        <f t="shared" si="82"/>
        <v>0</v>
      </c>
      <c r="AW51" s="16">
        <f t="shared" si="83"/>
        <v>0</v>
      </c>
      <c r="AX51" s="16">
        <f t="shared" si="84"/>
        <v>0</v>
      </c>
      <c r="AY51" s="16">
        <f t="shared" si="85"/>
        <v>0</v>
      </c>
      <c r="AZ51" s="16">
        <f t="shared" si="86"/>
        <v>0</v>
      </c>
      <c r="BA51" s="17">
        <f t="shared" si="87"/>
        <v>0</v>
      </c>
    </row>
    <row r="52" spans="1:53" ht="15.6" x14ac:dyDescent="0.3">
      <c r="A52" s="199" t="s">
        <v>54</v>
      </c>
      <c r="B52" s="94"/>
      <c r="C52" s="94"/>
      <c r="D52" s="107"/>
      <c r="E52" s="96"/>
      <c r="F52" s="97"/>
      <c r="G52" s="95"/>
      <c r="H52" s="96"/>
      <c r="I52" s="105"/>
      <c r="J52" s="95"/>
      <c r="K52" s="96"/>
      <c r="L52" s="97"/>
      <c r="M52" s="95"/>
      <c r="N52" s="96"/>
      <c r="O52" s="97"/>
      <c r="P52" s="95"/>
      <c r="Q52" s="96"/>
      <c r="R52" s="97"/>
      <c r="S52" s="95"/>
      <c r="T52" s="96"/>
      <c r="U52" s="97"/>
      <c r="V52" s="95"/>
      <c r="W52" s="96"/>
      <c r="X52" s="97"/>
      <c r="Y52" s="95"/>
      <c r="Z52" s="96"/>
      <c r="AA52" s="97"/>
      <c r="AB52" s="95"/>
      <c r="AC52" s="96"/>
      <c r="AD52" s="97"/>
      <c r="AE52" s="95"/>
      <c r="AF52" s="96"/>
      <c r="AG52" s="105"/>
      <c r="AH52" s="231">
        <f>+Janvier!AJ52</f>
        <v>1001.7445054945053</v>
      </c>
      <c r="AI52" s="231">
        <f>+Janvier!AK52</f>
        <v>3116.5384615384614</v>
      </c>
      <c r="AJ52" s="231">
        <f>+Janvier!AL52</f>
        <v>2337.4038461538462</v>
      </c>
      <c r="AK52" s="231">
        <f>+Janvier!AM52</f>
        <v>2337.4038461538462</v>
      </c>
      <c r="AL52" s="231">
        <f>+Janvier!AN52</f>
        <v>1416.6083916083917</v>
      </c>
      <c r="AM52" s="231">
        <f>+Janvier!AO52</f>
        <v>876.52644230769226</v>
      </c>
      <c r="AN52" s="231">
        <f>+Janvier!AP52</f>
        <v>1753.0528846153845</v>
      </c>
      <c r="AO52" s="231">
        <f>+Janvier!AQ52</f>
        <v>876.52644230769226</v>
      </c>
      <c r="AP52" s="231">
        <f>+Janvier!AR52</f>
        <v>876.52644230769226</v>
      </c>
      <c r="AQ52" s="231">
        <f>+Janvier!AS52</f>
        <v>1558.2692307692307</v>
      </c>
      <c r="AR52" s="16">
        <f t="shared" si="78"/>
        <v>0</v>
      </c>
      <c r="AS52" s="16">
        <f t="shared" si="79"/>
        <v>0</v>
      </c>
      <c r="AT52" s="16">
        <f t="shared" si="80"/>
        <v>0</v>
      </c>
      <c r="AU52" s="16">
        <f t="shared" si="81"/>
        <v>0</v>
      </c>
      <c r="AV52" s="16">
        <f t="shared" si="82"/>
        <v>0</v>
      </c>
      <c r="AW52" s="16">
        <f t="shared" si="83"/>
        <v>0</v>
      </c>
      <c r="AX52" s="16">
        <f t="shared" si="84"/>
        <v>0</v>
      </c>
      <c r="AY52" s="16">
        <f t="shared" si="85"/>
        <v>0</v>
      </c>
      <c r="AZ52" s="16">
        <f t="shared" si="86"/>
        <v>0</v>
      </c>
      <c r="BA52" s="17">
        <f t="shared" si="87"/>
        <v>0</v>
      </c>
    </row>
    <row r="53" spans="1:53" ht="16.2" thickBot="1" x14ac:dyDescent="0.35">
      <c r="A53" s="200" t="s">
        <v>55</v>
      </c>
      <c r="B53" s="255"/>
      <c r="C53" s="255"/>
      <c r="D53" s="249"/>
      <c r="E53" s="260"/>
      <c r="F53" s="261"/>
      <c r="G53" s="111"/>
      <c r="H53" s="109"/>
      <c r="I53" s="112"/>
      <c r="J53" s="111"/>
      <c r="K53" s="109"/>
      <c r="L53" s="110"/>
      <c r="M53" s="111"/>
      <c r="N53" s="109"/>
      <c r="O53" s="110"/>
      <c r="P53" s="111"/>
      <c r="Q53" s="109"/>
      <c r="R53" s="110"/>
      <c r="S53" s="111"/>
      <c r="T53" s="109"/>
      <c r="U53" s="110"/>
      <c r="V53" s="111"/>
      <c r="W53" s="109"/>
      <c r="X53" s="110"/>
      <c r="Y53" s="111"/>
      <c r="Z53" s="109"/>
      <c r="AA53" s="110"/>
      <c r="AB53" s="111"/>
      <c r="AC53" s="109"/>
      <c r="AD53" s="110"/>
      <c r="AE53" s="111"/>
      <c r="AF53" s="109"/>
      <c r="AG53" s="112"/>
      <c r="AH53" s="231">
        <f>+Janvier!AJ53</f>
        <v>269.25824175824175</v>
      </c>
      <c r="AI53" s="231">
        <f>+Janvier!AK53</f>
        <v>837.69230769230774</v>
      </c>
      <c r="AJ53" s="231">
        <f>+Janvier!AL53</f>
        <v>628.26923076923083</v>
      </c>
      <c r="AK53" s="231">
        <f>+Janvier!AM53</f>
        <v>628.26923076923083</v>
      </c>
      <c r="AL53" s="231">
        <f>+Janvier!AN53</f>
        <v>380.76923076923083</v>
      </c>
      <c r="AM53" s="231">
        <f>+Janvier!AO53</f>
        <v>235.60096153846155</v>
      </c>
      <c r="AN53" s="231">
        <f>+Janvier!AP53</f>
        <v>471.20192307692309</v>
      </c>
      <c r="AO53" s="231">
        <f>+Janvier!AQ53</f>
        <v>235.60096153846155</v>
      </c>
      <c r="AP53" s="231">
        <f>+Janvier!AR53</f>
        <v>235.60096153846155</v>
      </c>
      <c r="AQ53" s="231">
        <f>+Janvier!AS53</f>
        <v>418.84615384615387</v>
      </c>
      <c r="AR53" s="32">
        <f t="shared" si="78"/>
        <v>0</v>
      </c>
      <c r="AS53" s="32">
        <f t="shared" si="79"/>
        <v>0</v>
      </c>
      <c r="AT53" s="32">
        <f t="shared" si="80"/>
        <v>0</v>
      </c>
      <c r="AU53" s="32">
        <f t="shared" si="81"/>
        <v>0</v>
      </c>
      <c r="AV53" s="32">
        <f t="shared" si="82"/>
        <v>0</v>
      </c>
      <c r="AW53" s="32">
        <f t="shared" si="83"/>
        <v>0</v>
      </c>
      <c r="AX53" s="32">
        <f t="shared" si="84"/>
        <v>0</v>
      </c>
      <c r="AY53" s="32">
        <f t="shared" si="85"/>
        <v>0</v>
      </c>
      <c r="AZ53" s="32">
        <f t="shared" si="86"/>
        <v>0</v>
      </c>
      <c r="BA53" s="33">
        <f t="shared" si="87"/>
        <v>0</v>
      </c>
    </row>
    <row r="54" spans="1:53" ht="15.6" x14ac:dyDescent="0.3">
      <c r="A54" s="201" t="s">
        <v>146</v>
      </c>
      <c r="B54" s="256"/>
      <c r="C54" s="259"/>
      <c r="D54" s="125"/>
      <c r="E54" s="123"/>
      <c r="F54" s="124"/>
      <c r="G54" s="125"/>
      <c r="H54" s="123"/>
      <c r="I54" s="124"/>
      <c r="J54" s="125"/>
      <c r="K54" s="123"/>
      <c r="L54" s="124"/>
      <c r="M54" s="125"/>
      <c r="N54" s="123"/>
      <c r="O54" s="124"/>
      <c r="P54" s="125"/>
      <c r="Q54" s="123"/>
      <c r="R54" s="124"/>
      <c r="S54" s="125"/>
      <c r="T54" s="123"/>
      <c r="U54" s="124"/>
      <c r="V54" s="125"/>
      <c r="W54" s="123"/>
      <c r="X54" s="124"/>
      <c r="Y54" s="125"/>
      <c r="Z54" s="123"/>
      <c r="AA54" s="124"/>
      <c r="AB54" s="125"/>
      <c r="AC54" s="123"/>
      <c r="AD54" s="124"/>
      <c r="AE54" s="125"/>
      <c r="AF54" s="123"/>
      <c r="AG54" s="124"/>
      <c r="AH54" s="265">
        <f>+Janvier!AJ54</f>
        <v>63310.376250000001</v>
      </c>
      <c r="AI54" s="231">
        <f>+Janvier!AK54</f>
        <v>217816.00961538462</v>
      </c>
      <c r="AJ54" s="231">
        <f>+Janvier!AL54</f>
        <v>145065.46240384618</v>
      </c>
      <c r="AK54" s="231">
        <f>+Janvier!AM54</f>
        <v>145065.46240384618</v>
      </c>
      <c r="AL54" s="231">
        <f>+Janvier!AN54</f>
        <v>91482.724038461543</v>
      </c>
      <c r="AM54" s="231">
        <f>+Janvier!AO54</f>
        <v>54454.002403846156</v>
      </c>
      <c r="AN54" s="231">
        <f>+Janvier!AP54</f>
        <v>108908.00480769231</v>
      </c>
      <c r="AO54" s="231">
        <f>+Janvier!AQ54</f>
        <v>54454.002403846156</v>
      </c>
      <c r="AP54" s="231">
        <f>+Janvier!AR54</f>
        <v>54454.002403846156</v>
      </c>
      <c r="AQ54" s="231">
        <f>+Janvier!AS54</f>
        <v>98286.038653846175</v>
      </c>
      <c r="AR54" s="16">
        <f>ROUND(E54/(AH54/15),0)</f>
        <v>0</v>
      </c>
      <c r="AS54" s="16">
        <f t="shared" ref="AS54" si="88">ROUND(H54/(AI54/15),0)</f>
        <v>0</v>
      </c>
      <c r="AT54" s="16">
        <f t="shared" ref="AT54" si="89">ROUND(K54/(AJ54/15),0)</f>
        <v>0</v>
      </c>
      <c r="AU54" s="16">
        <f t="shared" ref="AU54" si="90">ROUND(N54/(AK54/15),0)</f>
        <v>0</v>
      </c>
      <c r="AV54" s="16">
        <f t="shared" ref="AV54" si="91">ROUND(Q54/(AL54/15),0)</f>
        <v>0</v>
      </c>
      <c r="AW54" s="16">
        <f t="shared" ref="AW54" si="92">ROUND(T54/(AM54/15),0)</f>
        <v>0</v>
      </c>
      <c r="AX54" s="16">
        <f t="shared" ref="AX54" si="93">ROUND(W54/(AN54/15),0)</f>
        <v>0</v>
      </c>
      <c r="AY54" s="16">
        <f t="shared" ref="AY54" si="94">ROUND(Z54/(AO54/15),0)</f>
        <v>0</v>
      </c>
      <c r="AZ54" s="16">
        <f t="shared" ref="AZ54" si="95">ROUND(AC54/(AP54/15),0)</f>
        <v>0</v>
      </c>
      <c r="BA54" s="17">
        <f t="shared" ref="BA54" si="96">ROUND(AF54/(AQ54/15),0)</f>
        <v>0</v>
      </c>
    </row>
    <row r="55" spans="1:53" ht="15.6" x14ac:dyDescent="0.3">
      <c r="A55" s="199" t="s">
        <v>21</v>
      </c>
      <c r="B55" s="257"/>
      <c r="C55" s="233"/>
      <c r="D55" s="95"/>
      <c r="E55" s="96"/>
      <c r="F55" s="97"/>
      <c r="G55" s="95"/>
      <c r="H55" s="96"/>
      <c r="I55" s="97"/>
      <c r="J55" s="95"/>
      <c r="K55" s="96"/>
      <c r="L55" s="97"/>
      <c r="M55" s="95"/>
      <c r="N55" s="96"/>
      <c r="O55" s="97"/>
      <c r="P55" s="95"/>
      <c r="Q55" s="96"/>
      <c r="R55" s="97"/>
      <c r="S55" s="95"/>
      <c r="T55" s="96"/>
      <c r="U55" s="97"/>
      <c r="V55" s="95"/>
      <c r="W55" s="96"/>
      <c r="X55" s="97"/>
      <c r="Y55" s="95"/>
      <c r="Z55" s="96"/>
      <c r="AA55" s="97"/>
      <c r="AB55" s="95"/>
      <c r="AC55" s="96"/>
      <c r="AD55" s="97"/>
      <c r="AE55" s="95"/>
      <c r="AF55" s="96"/>
      <c r="AG55" s="97"/>
      <c r="AH55" s="265">
        <f>+Janvier!AJ55</f>
        <v>1099.4093406593406</v>
      </c>
      <c r="AI55" s="231">
        <f>+Janvier!AK55</f>
        <v>3420.3846153846152</v>
      </c>
      <c r="AJ55" s="231">
        <f>+Janvier!AL55</f>
        <v>2565.2884615384614</v>
      </c>
      <c r="AK55" s="231">
        <f>+Janvier!AM55</f>
        <v>2565.2884615384614</v>
      </c>
      <c r="AL55" s="231">
        <f>+Janvier!AN55</f>
        <v>1554.7202797202797</v>
      </c>
      <c r="AM55" s="231">
        <f>+Janvier!AO55</f>
        <v>961.98317307692309</v>
      </c>
      <c r="AN55" s="231">
        <f>+Janvier!AP55</f>
        <v>1923.9663461538462</v>
      </c>
      <c r="AO55" s="231">
        <f>+Janvier!AQ55</f>
        <v>961.98317307692309</v>
      </c>
      <c r="AP55" s="231">
        <f>+Janvier!AR55</f>
        <v>961.98317307692309</v>
      </c>
      <c r="AQ55" s="231">
        <f>+Janvier!AS55</f>
        <v>1710.1923076923076</v>
      </c>
      <c r="AR55" s="16">
        <f t="shared" ref="AR55:AR67" si="97">ROUND(E55/(AH55/5),0)</f>
        <v>0</v>
      </c>
      <c r="AS55" s="16">
        <f t="shared" ref="AS55:AS67" si="98">ROUND(H55/(AI55/5),0)</f>
        <v>0</v>
      </c>
      <c r="AT55" s="16">
        <f t="shared" ref="AT55:AT67" si="99">ROUND(K55/(AJ55/5),0)</f>
        <v>0</v>
      </c>
      <c r="AU55" s="16">
        <f t="shared" ref="AU55:AU67" si="100">ROUND(N55/(AK55/5),0)</f>
        <v>0</v>
      </c>
      <c r="AV55" s="16">
        <f t="shared" ref="AV55:AV67" si="101">ROUND(Q55/(AL55/5),0)</f>
        <v>0</v>
      </c>
      <c r="AW55" s="16">
        <f t="shared" ref="AW55:AW67" si="102">ROUND(T55/(AM55/5),0)</f>
        <v>0</v>
      </c>
      <c r="AX55" s="16">
        <f t="shared" ref="AX55:AX67" si="103">ROUND(W55/(AN55/5),0)</f>
        <v>0</v>
      </c>
      <c r="AY55" s="16">
        <f t="shared" ref="AY55:AY67" si="104">ROUND(Z55/(AO55/5),0)</f>
        <v>0</v>
      </c>
      <c r="AZ55" s="16">
        <f t="shared" ref="AZ55:AZ67" si="105">ROUND(AC55/(AP55/5),0)</f>
        <v>0</v>
      </c>
      <c r="BA55" s="17">
        <f t="shared" ref="BA55:BA67" si="106">ROUND(AF55/(AQ55/5),0)</f>
        <v>0</v>
      </c>
    </row>
    <row r="56" spans="1:53" ht="15.6" x14ac:dyDescent="0.3">
      <c r="A56" s="199" t="s">
        <v>22</v>
      </c>
      <c r="B56" s="257"/>
      <c r="C56" s="233"/>
      <c r="D56" s="95"/>
      <c r="E56" s="96"/>
      <c r="F56" s="97"/>
      <c r="G56" s="95"/>
      <c r="H56" s="96"/>
      <c r="I56" s="97"/>
      <c r="J56" s="95"/>
      <c r="K56" s="96"/>
      <c r="L56" s="97"/>
      <c r="M56" s="95"/>
      <c r="N56" s="96"/>
      <c r="O56" s="97"/>
      <c r="P56" s="95"/>
      <c r="Q56" s="96"/>
      <c r="R56" s="97"/>
      <c r="S56" s="95"/>
      <c r="T56" s="96"/>
      <c r="U56" s="97"/>
      <c r="V56" s="95"/>
      <c r="W56" s="96"/>
      <c r="X56" s="97"/>
      <c r="Y56" s="95"/>
      <c r="Z56" s="96"/>
      <c r="AA56" s="97"/>
      <c r="AB56" s="95"/>
      <c r="AC56" s="96"/>
      <c r="AD56" s="97"/>
      <c r="AE56" s="95"/>
      <c r="AF56" s="96"/>
      <c r="AG56" s="97"/>
      <c r="AH56" s="265">
        <f>+Janvier!AJ56</f>
        <v>434.54670329670336</v>
      </c>
      <c r="AI56" s="231">
        <f>+Janvier!AK56</f>
        <v>1351.9230769230767</v>
      </c>
      <c r="AJ56" s="231">
        <f>+Janvier!AL56</f>
        <v>1013.9423076923077</v>
      </c>
      <c r="AK56" s="231">
        <f>+Janvier!AM56</f>
        <v>1013.9423076923077</v>
      </c>
      <c r="AL56" s="231">
        <f>+Janvier!AN56</f>
        <v>614.51048951048949</v>
      </c>
      <c r="AM56" s="231">
        <f>+Janvier!AO56</f>
        <v>380.22836538461542</v>
      </c>
      <c r="AN56" s="231">
        <f>+Janvier!AP56</f>
        <v>760.45673076923083</v>
      </c>
      <c r="AO56" s="231">
        <f>+Janvier!AQ56</f>
        <v>380.22836538461542</v>
      </c>
      <c r="AP56" s="231">
        <f>+Janvier!AR56</f>
        <v>380.22836538461542</v>
      </c>
      <c r="AQ56" s="231">
        <f>+Janvier!AS56</f>
        <v>675.96153846153834</v>
      </c>
      <c r="AR56" s="16">
        <f t="shared" si="97"/>
        <v>0</v>
      </c>
      <c r="AS56" s="16">
        <f t="shared" si="98"/>
        <v>0</v>
      </c>
      <c r="AT56" s="16">
        <f t="shared" si="99"/>
        <v>0</v>
      </c>
      <c r="AU56" s="16">
        <f t="shared" si="100"/>
        <v>0</v>
      </c>
      <c r="AV56" s="16">
        <f t="shared" si="101"/>
        <v>0</v>
      </c>
      <c r="AW56" s="16">
        <f t="shared" si="102"/>
        <v>0</v>
      </c>
      <c r="AX56" s="16">
        <f t="shared" si="103"/>
        <v>0</v>
      </c>
      <c r="AY56" s="16">
        <f t="shared" si="104"/>
        <v>0</v>
      </c>
      <c r="AZ56" s="16">
        <f t="shared" si="105"/>
        <v>0</v>
      </c>
      <c r="BA56" s="17">
        <f t="shared" si="106"/>
        <v>0</v>
      </c>
    </row>
    <row r="57" spans="1:53" ht="15.6" x14ac:dyDescent="0.3">
      <c r="A57" s="199" t="s">
        <v>25</v>
      </c>
      <c r="B57" s="257"/>
      <c r="C57" s="233"/>
      <c r="D57" s="95"/>
      <c r="E57" s="96"/>
      <c r="F57" s="97"/>
      <c r="G57" s="95"/>
      <c r="H57" s="96"/>
      <c r="I57" s="97"/>
      <c r="J57" s="95"/>
      <c r="K57" s="96"/>
      <c r="L57" s="97"/>
      <c r="M57" s="95"/>
      <c r="N57" s="96"/>
      <c r="O57" s="97"/>
      <c r="P57" s="95"/>
      <c r="Q57" s="96"/>
      <c r="R57" s="97"/>
      <c r="S57" s="95"/>
      <c r="T57" s="96"/>
      <c r="U57" s="97"/>
      <c r="V57" s="95"/>
      <c r="W57" s="96"/>
      <c r="X57" s="97"/>
      <c r="Y57" s="95"/>
      <c r="Z57" s="96"/>
      <c r="AA57" s="97"/>
      <c r="AB57" s="95"/>
      <c r="AC57" s="96"/>
      <c r="AD57" s="97"/>
      <c r="AE57" s="95"/>
      <c r="AF57" s="96"/>
      <c r="AG57" s="97"/>
      <c r="AH57" s="265">
        <f>+Janvier!AJ57</f>
        <v>816.30494505494516</v>
      </c>
      <c r="AI57" s="231">
        <f>+Janvier!AK57</f>
        <v>2539.6153846153848</v>
      </c>
      <c r="AJ57" s="231">
        <f>+Janvier!AL57</f>
        <v>1904.7115384615383</v>
      </c>
      <c r="AK57" s="231">
        <f>+Janvier!AM57</f>
        <v>1904.7115384615383</v>
      </c>
      <c r="AL57" s="231">
        <f>+Janvier!AN57</f>
        <v>1154.3706293706296</v>
      </c>
      <c r="AM57" s="231">
        <f>+Janvier!AO57</f>
        <v>714.26682692307691</v>
      </c>
      <c r="AN57" s="231">
        <f>+Janvier!AP57</f>
        <v>1428.5336538461538</v>
      </c>
      <c r="AO57" s="231">
        <f>+Janvier!AQ57</f>
        <v>714.26682692307691</v>
      </c>
      <c r="AP57" s="231">
        <f>+Janvier!AR57</f>
        <v>714.26682692307691</v>
      </c>
      <c r="AQ57" s="231">
        <f>+Janvier!AS57</f>
        <v>1269.8076923076924</v>
      </c>
      <c r="AR57" s="16">
        <f t="shared" si="97"/>
        <v>0</v>
      </c>
      <c r="AS57" s="16">
        <f t="shared" si="98"/>
        <v>0</v>
      </c>
      <c r="AT57" s="16">
        <f t="shared" si="99"/>
        <v>0</v>
      </c>
      <c r="AU57" s="16">
        <f t="shared" si="100"/>
        <v>0</v>
      </c>
      <c r="AV57" s="16">
        <f t="shared" si="101"/>
        <v>0</v>
      </c>
      <c r="AW57" s="16">
        <f t="shared" si="102"/>
        <v>0</v>
      </c>
      <c r="AX57" s="16">
        <f t="shared" si="103"/>
        <v>0</v>
      </c>
      <c r="AY57" s="16">
        <f t="shared" si="104"/>
        <v>0</v>
      </c>
      <c r="AZ57" s="16">
        <f t="shared" si="105"/>
        <v>0</v>
      </c>
      <c r="BA57" s="17">
        <f t="shared" si="106"/>
        <v>0</v>
      </c>
    </row>
    <row r="58" spans="1:53" ht="15.6" x14ac:dyDescent="0.3">
      <c r="A58" s="199" t="s">
        <v>23</v>
      </c>
      <c r="B58" s="257"/>
      <c r="C58" s="233"/>
      <c r="D58" s="95"/>
      <c r="E58" s="96"/>
      <c r="F58" s="97"/>
      <c r="G58" s="95"/>
      <c r="H58" s="96"/>
      <c r="I58" s="97"/>
      <c r="J58" s="95"/>
      <c r="K58" s="96"/>
      <c r="L58" s="97"/>
      <c r="M58" s="95"/>
      <c r="N58" s="96"/>
      <c r="O58" s="97"/>
      <c r="P58" s="95"/>
      <c r="Q58" s="96"/>
      <c r="R58" s="97"/>
      <c r="S58" s="95"/>
      <c r="T58" s="96"/>
      <c r="U58" s="97"/>
      <c r="V58" s="95"/>
      <c r="W58" s="96"/>
      <c r="X58" s="97"/>
      <c r="Y58" s="95"/>
      <c r="Z58" s="96"/>
      <c r="AA58" s="97"/>
      <c r="AB58" s="95"/>
      <c r="AC58" s="96"/>
      <c r="AD58" s="97"/>
      <c r="AE58" s="95"/>
      <c r="AF58" s="96"/>
      <c r="AG58" s="97"/>
      <c r="AH58" s="265">
        <f>+Janvier!AJ58</f>
        <v>510.08241758241758</v>
      </c>
      <c r="AI58" s="231">
        <f>+Janvier!AK58</f>
        <v>1586.9230769230767</v>
      </c>
      <c r="AJ58" s="231">
        <f>+Janvier!AL58</f>
        <v>1190.1923076923078</v>
      </c>
      <c r="AK58" s="231">
        <f>+Janvier!AM58</f>
        <v>1190.1923076923078</v>
      </c>
      <c r="AL58" s="231">
        <f>+Janvier!AN58</f>
        <v>721.32867132867148</v>
      </c>
      <c r="AM58" s="231">
        <f>+Janvier!AO58</f>
        <v>446.32211538461542</v>
      </c>
      <c r="AN58" s="231">
        <f>+Janvier!AP58</f>
        <v>892.64423076923083</v>
      </c>
      <c r="AO58" s="231">
        <f>+Janvier!AQ58</f>
        <v>446.32211538461542</v>
      </c>
      <c r="AP58" s="231">
        <f>+Janvier!AR58</f>
        <v>446.32211538461542</v>
      </c>
      <c r="AQ58" s="231">
        <f>+Janvier!AS58</f>
        <v>793.46153846153834</v>
      </c>
      <c r="AR58" s="16">
        <f t="shared" si="97"/>
        <v>0</v>
      </c>
      <c r="AS58" s="16">
        <f t="shared" si="98"/>
        <v>0</v>
      </c>
      <c r="AT58" s="16">
        <f t="shared" si="99"/>
        <v>0</v>
      </c>
      <c r="AU58" s="16">
        <f t="shared" si="100"/>
        <v>0</v>
      </c>
      <c r="AV58" s="16">
        <f t="shared" si="101"/>
        <v>0</v>
      </c>
      <c r="AW58" s="16">
        <f t="shared" si="102"/>
        <v>0</v>
      </c>
      <c r="AX58" s="16">
        <f t="shared" si="103"/>
        <v>0</v>
      </c>
      <c r="AY58" s="16">
        <f t="shared" si="104"/>
        <v>0</v>
      </c>
      <c r="AZ58" s="16">
        <f t="shared" si="105"/>
        <v>0</v>
      </c>
      <c r="BA58" s="17">
        <f t="shared" si="106"/>
        <v>0</v>
      </c>
    </row>
    <row r="59" spans="1:53" ht="15.6" x14ac:dyDescent="0.3">
      <c r="A59" s="199" t="s">
        <v>24</v>
      </c>
      <c r="B59" s="257"/>
      <c r="C59" s="233"/>
      <c r="D59" s="95"/>
      <c r="E59" s="96"/>
      <c r="F59" s="97"/>
      <c r="G59" s="95"/>
      <c r="H59" s="96"/>
      <c r="I59" s="97"/>
      <c r="J59" s="95"/>
      <c r="K59" s="96"/>
      <c r="L59" s="97"/>
      <c r="M59" s="95"/>
      <c r="N59" s="96"/>
      <c r="O59" s="97"/>
      <c r="P59" s="95"/>
      <c r="Q59" s="96"/>
      <c r="R59" s="97"/>
      <c r="S59" s="95"/>
      <c r="T59" s="96"/>
      <c r="U59" s="97"/>
      <c r="V59" s="95"/>
      <c r="W59" s="96"/>
      <c r="X59" s="97"/>
      <c r="Y59" s="95"/>
      <c r="Z59" s="96"/>
      <c r="AA59" s="97"/>
      <c r="AB59" s="95"/>
      <c r="AC59" s="96"/>
      <c r="AD59" s="97"/>
      <c r="AE59" s="95"/>
      <c r="AF59" s="96"/>
      <c r="AG59" s="97"/>
      <c r="AH59" s="265">
        <f>+Janvier!AJ59</f>
        <v>646.8131868131868</v>
      </c>
      <c r="AI59" s="231">
        <f>+Janvier!AK59</f>
        <v>2012.3076923076924</v>
      </c>
      <c r="AJ59" s="231">
        <f>+Janvier!AL59</f>
        <v>1509.2307692307693</v>
      </c>
      <c r="AK59" s="231">
        <f>+Janvier!AM59</f>
        <v>1509.2307692307693</v>
      </c>
      <c r="AL59" s="231">
        <f>+Janvier!AN59</f>
        <v>914.68531468531478</v>
      </c>
      <c r="AM59" s="231">
        <f>+Janvier!AO59</f>
        <v>565.96153846153845</v>
      </c>
      <c r="AN59" s="231">
        <f>+Janvier!AP59</f>
        <v>1131.9230769230769</v>
      </c>
      <c r="AO59" s="231">
        <f>+Janvier!AQ59</f>
        <v>565.96153846153845</v>
      </c>
      <c r="AP59" s="231">
        <f>+Janvier!AR59</f>
        <v>565.96153846153845</v>
      </c>
      <c r="AQ59" s="231">
        <f>+Janvier!AS59</f>
        <v>1006.1538461538462</v>
      </c>
      <c r="AR59" s="16">
        <f t="shared" si="97"/>
        <v>0</v>
      </c>
      <c r="AS59" s="16">
        <f t="shared" si="98"/>
        <v>0</v>
      </c>
      <c r="AT59" s="16">
        <f t="shared" si="99"/>
        <v>0</v>
      </c>
      <c r="AU59" s="16">
        <f t="shared" si="100"/>
        <v>0</v>
      </c>
      <c r="AV59" s="16">
        <f t="shared" si="101"/>
        <v>0</v>
      </c>
      <c r="AW59" s="16">
        <f t="shared" si="102"/>
        <v>0</v>
      </c>
      <c r="AX59" s="16">
        <f t="shared" si="103"/>
        <v>0</v>
      </c>
      <c r="AY59" s="16">
        <f t="shared" si="104"/>
        <v>0</v>
      </c>
      <c r="AZ59" s="16">
        <f t="shared" si="105"/>
        <v>0</v>
      </c>
      <c r="BA59" s="17">
        <f t="shared" si="106"/>
        <v>0</v>
      </c>
    </row>
    <row r="60" spans="1:53" ht="15.6" x14ac:dyDescent="0.3">
      <c r="A60" s="199" t="s">
        <v>26</v>
      </c>
      <c r="B60" s="257"/>
      <c r="C60" s="233"/>
      <c r="D60" s="95"/>
      <c r="E60" s="96"/>
      <c r="F60" s="97"/>
      <c r="G60" s="95"/>
      <c r="H60" s="96"/>
      <c r="I60" s="97"/>
      <c r="J60" s="95"/>
      <c r="K60" s="96"/>
      <c r="L60" s="97"/>
      <c r="M60" s="95"/>
      <c r="N60" s="96"/>
      <c r="O60" s="97"/>
      <c r="P60" s="95"/>
      <c r="Q60" s="96"/>
      <c r="R60" s="97"/>
      <c r="S60" s="95"/>
      <c r="T60" s="96"/>
      <c r="U60" s="97"/>
      <c r="V60" s="95"/>
      <c r="W60" s="96"/>
      <c r="X60" s="97"/>
      <c r="Y60" s="95"/>
      <c r="Z60" s="96"/>
      <c r="AA60" s="97"/>
      <c r="AB60" s="95"/>
      <c r="AC60" s="96"/>
      <c r="AD60" s="97"/>
      <c r="AE60" s="95"/>
      <c r="AF60" s="96"/>
      <c r="AG60" s="97"/>
      <c r="AH60" s="265">
        <f>+Janvier!AJ60</f>
        <v>2337.1565934065934</v>
      </c>
      <c r="AI60" s="231">
        <f>+Janvier!AK60</f>
        <v>7271.1538461538466</v>
      </c>
      <c r="AJ60" s="231">
        <f>+Janvier!AL60</f>
        <v>5453.3653846153848</v>
      </c>
      <c r="AK60" s="231">
        <f>+Janvier!AM60</f>
        <v>5453.3653846153848</v>
      </c>
      <c r="AL60" s="231">
        <f>+Janvier!AN60</f>
        <v>3305.0699300699303</v>
      </c>
      <c r="AM60" s="231">
        <f>+Janvier!AO60</f>
        <v>2045.0120192307693</v>
      </c>
      <c r="AN60" s="231">
        <f>+Janvier!AP60</f>
        <v>4090.0240384615386</v>
      </c>
      <c r="AO60" s="231">
        <f>+Janvier!AQ60</f>
        <v>2045.0120192307693</v>
      </c>
      <c r="AP60" s="231">
        <f>+Janvier!AR60</f>
        <v>2045.0120192307693</v>
      </c>
      <c r="AQ60" s="231">
        <f>+Janvier!AS60</f>
        <v>3635.5769230769233</v>
      </c>
      <c r="AR60" s="16">
        <f t="shared" si="97"/>
        <v>0</v>
      </c>
      <c r="AS60" s="16">
        <f t="shared" si="98"/>
        <v>0</v>
      </c>
      <c r="AT60" s="16">
        <f t="shared" si="99"/>
        <v>0</v>
      </c>
      <c r="AU60" s="16">
        <f t="shared" si="100"/>
        <v>0</v>
      </c>
      <c r="AV60" s="16">
        <f t="shared" si="101"/>
        <v>0</v>
      </c>
      <c r="AW60" s="16">
        <f t="shared" si="102"/>
        <v>0</v>
      </c>
      <c r="AX60" s="16">
        <f t="shared" si="103"/>
        <v>0</v>
      </c>
      <c r="AY60" s="16">
        <f t="shared" si="104"/>
        <v>0</v>
      </c>
      <c r="AZ60" s="16">
        <f t="shared" si="105"/>
        <v>0</v>
      </c>
      <c r="BA60" s="17">
        <f t="shared" si="106"/>
        <v>0</v>
      </c>
    </row>
    <row r="61" spans="1:53" ht="15.6" x14ac:dyDescent="0.3">
      <c r="A61" s="199" t="s">
        <v>27</v>
      </c>
      <c r="B61" s="257"/>
      <c r="C61" s="233"/>
      <c r="D61" s="95"/>
      <c r="E61" s="96"/>
      <c r="F61" s="97"/>
      <c r="G61" s="95"/>
      <c r="H61" s="96"/>
      <c r="I61" s="97"/>
      <c r="J61" s="95"/>
      <c r="K61" s="96"/>
      <c r="L61" s="97"/>
      <c r="M61" s="95"/>
      <c r="N61" s="96"/>
      <c r="O61" s="97"/>
      <c r="P61" s="95"/>
      <c r="Q61" s="96"/>
      <c r="R61" s="97"/>
      <c r="S61" s="95"/>
      <c r="T61" s="96"/>
      <c r="U61" s="97"/>
      <c r="V61" s="95"/>
      <c r="W61" s="96"/>
      <c r="X61" s="97"/>
      <c r="Y61" s="95"/>
      <c r="Z61" s="96"/>
      <c r="AA61" s="97"/>
      <c r="AB61" s="95"/>
      <c r="AC61" s="96"/>
      <c r="AD61" s="97"/>
      <c r="AE61" s="95"/>
      <c r="AF61" s="96"/>
      <c r="AG61" s="97"/>
      <c r="AH61" s="265">
        <f>+Janvier!AJ61</f>
        <v>1836.5934065934064</v>
      </c>
      <c r="AI61" s="231">
        <f>+Janvier!AK61</f>
        <v>5713.8461538461534</v>
      </c>
      <c r="AJ61" s="231">
        <f>+Janvier!AL61</f>
        <v>4285.3846153846152</v>
      </c>
      <c r="AK61" s="231">
        <f>+Janvier!AM61</f>
        <v>4285.3846153846152</v>
      </c>
      <c r="AL61" s="231">
        <f>+Janvier!AN61</f>
        <v>2597.2027972027972</v>
      </c>
      <c r="AM61" s="231">
        <f>+Janvier!AO61</f>
        <v>1607.0192307692307</v>
      </c>
      <c r="AN61" s="231">
        <f>+Janvier!AP61</f>
        <v>3214.0384615384614</v>
      </c>
      <c r="AO61" s="231">
        <f>+Janvier!AQ61</f>
        <v>1607.0192307692307</v>
      </c>
      <c r="AP61" s="231">
        <f>+Janvier!AR61</f>
        <v>1607.0192307692307</v>
      </c>
      <c r="AQ61" s="231">
        <f>+Janvier!AS61</f>
        <v>2856.9230769230767</v>
      </c>
      <c r="AR61" s="16">
        <f t="shared" si="97"/>
        <v>0</v>
      </c>
      <c r="AS61" s="16">
        <f t="shared" si="98"/>
        <v>0</v>
      </c>
      <c r="AT61" s="16">
        <f t="shared" si="99"/>
        <v>0</v>
      </c>
      <c r="AU61" s="16">
        <f t="shared" si="100"/>
        <v>0</v>
      </c>
      <c r="AV61" s="16">
        <f t="shared" si="101"/>
        <v>0</v>
      </c>
      <c r="AW61" s="16">
        <f t="shared" si="102"/>
        <v>0</v>
      </c>
      <c r="AX61" s="16">
        <f t="shared" si="103"/>
        <v>0</v>
      </c>
      <c r="AY61" s="16">
        <f t="shared" si="104"/>
        <v>0</v>
      </c>
      <c r="AZ61" s="16">
        <f t="shared" si="105"/>
        <v>0</v>
      </c>
      <c r="BA61" s="17">
        <f t="shared" si="106"/>
        <v>0</v>
      </c>
    </row>
    <row r="62" spans="1:53" ht="15.6" x14ac:dyDescent="0.3">
      <c r="A62" s="199" t="s">
        <v>28</v>
      </c>
      <c r="B62" s="257"/>
      <c r="C62" s="233"/>
      <c r="D62" s="95"/>
      <c r="E62" s="98"/>
      <c r="F62" s="97"/>
      <c r="G62" s="99"/>
      <c r="H62" s="98"/>
      <c r="I62" s="97"/>
      <c r="J62" s="99"/>
      <c r="K62" s="98"/>
      <c r="L62" s="97"/>
      <c r="M62" s="99"/>
      <c r="N62" s="98"/>
      <c r="O62" s="97"/>
      <c r="P62" s="99"/>
      <c r="Q62" s="98"/>
      <c r="R62" s="97"/>
      <c r="S62" s="99"/>
      <c r="T62" s="98"/>
      <c r="U62" s="97"/>
      <c r="V62" s="99"/>
      <c r="W62" s="98"/>
      <c r="X62" s="97"/>
      <c r="Y62" s="99"/>
      <c r="Z62" s="98"/>
      <c r="AA62" s="97"/>
      <c r="AB62" s="95"/>
      <c r="AC62" s="98"/>
      <c r="AD62" s="100"/>
      <c r="AE62" s="99"/>
      <c r="AF62" s="98"/>
      <c r="AG62" s="97"/>
      <c r="AH62" s="265">
        <f>+Janvier!AJ62</f>
        <v>3546.2225274725279</v>
      </c>
      <c r="AI62" s="231">
        <f>+Janvier!AK62</f>
        <v>11032.692307692307</v>
      </c>
      <c r="AJ62" s="231">
        <f>+Janvier!AL62</f>
        <v>8274.5192307692305</v>
      </c>
      <c r="AK62" s="231">
        <f>+Janvier!AM62</f>
        <v>8274.5192307692305</v>
      </c>
      <c r="AL62" s="231">
        <f>+Janvier!AN62</f>
        <v>5014.8601398601395</v>
      </c>
      <c r="AM62" s="231">
        <f>+Janvier!AO62</f>
        <v>3102.9447115384614</v>
      </c>
      <c r="AN62" s="231">
        <f>+Janvier!AP62</f>
        <v>6205.8894230769229</v>
      </c>
      <c r="AO62" s="231">
        <f>+Janvier!AQ62</f>
        <v>3102.9447115384614</v>
      </c>
      <c r="AP62" s="231">
        <f>+Janvier!AR62</f>
        <v>3102.9447115384614</v>
      </c>
      <c r="AQ62" s="231">
        <f>+Janvier!AS62</f>
        <v>5516.3461538461534</v>
      </c>
      <c r="AR62" s="16">
        <f t="shared" si="97"/>
        <v>0</v>
      </c>
      <c r="AS62" s="16">
        <f t="shared" si="98"/>
        <v>0</v>
      </c>
      <c r="AT62" s="16">
        <f t="shared" si="99"/>
        <v>0</v>
      </c>
      <c r="AU62" s="16">
        <f t="shared" si="100"/>
        <v>0</v>
      </c>
      <c r="AV62" s="16">
        <f t="shared" si="101"/>
        <v>0</v>
      </c>
      <c r="AW62" s="16">
        <f t="shared" si="102"/>
        <v>0</v>
      </c>
      <c r="AX62" s="16">
        <f t="shared" si="103"/>
        <v>0</v>
      </c>
      <c r="AY62" s="16">
        <f t="shared" si="104"/>
        <v>0</v>
      </c>
      <c r="AZ62" s="16">
        <f t="shared" si="105"/>
        <v>0</v>
      </c>
      <c r="BA62" s="17">
        <f t="shared" si="106"/>
        <v>0</v>
      </c>
    </row>
    <row r="63" spans="1:53" ht="15.6" x14ac:dyDescent="0.3">
      <c r="A63" s="199" t="s">
        <v>29</v>
      </c>
      <c r="B63" s="257"/>
      <c r="C63" s="233"/>
      <c r="D63" s="95"/>
      <c r="E63" s="98"/>
      <c r="F63" s="97"/>
      <c r="G63" s="99"/>
      <c r="H63" s="98"/>
      <c r="I63" s="97"/>
      <c r="J63" s="99"/>
      <c r="K63" s="98"/>
      <c r="L63" s="97"/>
      <c r="M63" s="99"/>
      <c r="N63" s="98"/>
      <c r="O63" s="97"/>
      <c r="P63" s="99"/>
      <c r="Q63" s="98"/>
      <c r="R63" s="97"/>
      <c r="S63" s="99"/>
      <c r="T63" s="98"/>
      <c r="U63" s="97"/>
      <c r="V63" s="99"/>
      <c r="W63" s="98"/>
      <c r="X63" s="97"/>
      <c r="Y63" s="99"/>
      <c r="Z63" s="98"/>
      <c r="AA63" s="97"/>
      <c r="AB63" s="95"/>
      <c r="AC63" s="98"/>
      <c r="AD63" s="97"/>
      <c r="AE63" s="99"/>
      <c r="AF63" s="98"/>
      <c r="AG63" s="97"/>
      <c r="AH63" s="265">
        <f>+Janvier!AJ63</f>
        <v>2493.4203296703299</v>
      </c>
      <c r="AI63" s="231">
        <f>+Janvier!AK63</f>
        <v>7757.3076923076942</v>
      </c>
      <c r="AJ63" s="231">
        <f>+Janvier!AL63</f>
        <v>5817.9807692307704</v>
      </c>
      <c r="AK63" s="231">
        <f>+Janvier!AM63</f>
        <v>5817.9807692307704</v>
      </c>
      <c r="AL63" s="231">
        <f>+Janvier!AN63</f>
        <v>3526.0489510489515</v>
      </c>
      <c r="AM63" s="231">
        <f>+Janvier!AO63</f>
        <v>2181.7427884615386</v>
      </c>
      <c r="AN63" s="231">
        <f>+Janvier!AP63</f>
        <v>4363.4855769230771</v>
      </c>
      <c r="AO63" s="231">
        <f>+Janvier!AQ63</f>
        <v>2181.7427884615386</v>
      </c>
      <c r="AP63" s="231">
        <f>+Janvier!AR63</f>
        <v>2181.7427884615386</v>
      </c>
      <c r="AQ63" s="231">
        <f>+Janvier!AS63</f>
        <v>3878.6538461538471</v>
      </c>
      <c r="AR63" s="16">
        <f t="shared" si="97"/>
        <v>0</v>
      </c>
      <c r="AS63" s="16">
        <f t="shared" si="98"/>
        <v>0</v>
      </c>
      <c r="AT63" s="16">
        <f t="shared" si="99"/>
        <v>0</v>
      </c>
      <c r="AU63" s="16">
        <f t="shared" si="100"/>
        <v>0</v>
      </c>
      <c r="AV63" s="16">
        <f t="shared" si="101"/>
        <v>0</v>
      </c>
      <c r="AW63" s="16">
        <f t="shared" si="102"/>
        <v>0</v>
      </c>
      <c r="AX63" s="16">
        <f t="shared" si="103"/>
        <v>0</v>
      </c>
      <c r="AY63" s="16">
        <f t="shared" si="104"/>
        <v>0</v>
      </c>
      <c r="AZ63" s="16">
        <f t="shared" si="105"/>
        <v>0</v>
      </c>
      <c r="BA63" s="17">
        <f t="shared" si="106"/>
        <v>0</v>
      </c>
    </row>
    <row r="64" spans="1:53" ht="15.6" x14ac:dyDescent="0.3">
      <c r="A64" s="199" t="s">
        <v>30</v>
      </c>
      <c r="B64" s="257"/>
      <c r="C64" s="233"/>
      <c r="D64" s="95"/>
      <c r="E64" s="98"/>
      <c r="F64" s="97"/>
      <c r="G64" s="99"/>
      <c r="H64" s="98"/>
      <c r="I64" s="97"/>
      <c r="J64" s="99"/>
      <c r="K64" s="98"/>
      <c r="L64" s="97"/>
      <c r="M64" s="99"/>
      <c r="N64" s="98"/>
      <c r="O64" s="97"/>
      <c r="P64" s="99"/>
      <c r="Q64" s="98"/>
      <c r="R64" s="97"/>
      <c r="S64" s="99"/>
      <c r="T64" s="98"/>
      <c r="U64" s="97"/>
      <c r="V64" s="99"/>
      <c r="W64" s="98"/>
      <c r="X64" s="97"/>
      <c r="Y64" s="99"/>
      <c r="Z64" s="98"/>
      <c r="AA64" s="97"/>
      <c r="AB64" s="95"/>
      <c r="AC64" s="98"/>
      <c r="AD64" s="97"/>
      <c r="AE64" s="99"/>
      <c r="AF64" s="98"/>
      <c r="AG64" s="97"/>
      <c r="AH64" s="265">
        <f>+Janvier!AJ64</f>
        <v>1338.1318681318683</v>
      </c>
      <c r="AI64" s="231">
        <f>+Janvier!AK64</f>
        <v>4163.0769230769229</v>
      </c>
      <c r="AJ64" s="231">
        <f>+Janvier!AL64</f>
        <v>3122.3076923076928</v>
      </c>
      <c r="AK64" s="231">
        <f>+Janvier!AM64</f>
        <v>3122.3076923076928</v>
      </c>
      <c r="AL64" s="231">
        <f>+Janvier!AN64</f>
        <v>1892.3076923076926</v>
      </c>
      <c r="AM64" s="231">
        <f>+Janvier!AO64</f>
        <v>1170.8653846153848</v>
      </c>
      <c r="AN64" s="231">
        <f>+Janvier!AP64</f>
        <v>2341.7307692307695</v>
      </c>
      <c r="AO64" s="231">
        <f>+Janvier!AQ64</f>
        <v>1170.8653846153848</v>
      </c>
      <c r="AP64" s="231">
        <f>+Janvier!AR64</f>
        <v>1170.8653846153848</v>
      </c>
      <c r="AQ64" s="231">
        <f>+Janvier!AS64</f>
        <v>2081.5384615384614</v>
      </c>
      <c r="AR64" s="16">
        <f t="shared" si="97"/>
        <v>0</v>
      </c>
      <c r="AS64" s="16">
        <f t="shared" si="98"/>
        <v>0</v>
      </c>
      <c r="AT64" s="16">
        <f t="shared" si="99"/>
        <v>0</v>
      </c>
      <c r="AU64" s="16">
        <f t="shared" si="100"/>
        <v>0</v>
      </c>
      <c r="AV64" s="16">
        <f t="shared" si="101"/>
        <v>0</v>
      </c>
      <c r="AW64" s="16">
        <f t="shared" si="102"/>
        <v>0</v>
      </c>
      <c r="AX64" s="16">
        <f t="shared" si="103"/>
        <v>0</v>
      </c>
      <c r="AY64" s="16">
        <f t="shared" si="104"/>
        <v>0</v>
      </c>
      <c r="AZ64" s="16">
        <f t="shared" si="105"/>
        <v>0</v>
      </c>
      <c r="BA64" s="17">
        <f t="shared" si="106"/>
        <v>0</v>
      </c>
    </row>
    <row r="65" spans="1:53" ht="15.6" x14ac:dyDescent="0.3">
      <c r="A65" s="199" t="s">
        <v>31</v>
      </c>
      <c r="B65" s="257"/>
      <c r="C65" s="233"/>
      <c r="D65" s="95"/>
      <c r="E65" s="98"/>
      <c r="F65" s="97"/>
      <c r="G65" s="99"/>
      <c r="H65" s="98"/>
      <c r="I65" s="97"/>
      <c r="J65" s="99"/>
      <c r="K65" s="98"/>
      <c r="L65" s="97"/>
      <c r="M65" s="99"/>
      <c r="N65" s="98"/>
      <c r="O65" s="97"/>
      <c r="P65" s="99"/>
      <c r="Q65" s="98"/>
      <c r="R65" s="97"/>
      <c r="S65" s="99"/>
      <c r="T65" s="98"/>
      <c r="U65" s="97"/>
      <c r="V65" s="99"/>
      <c r="W65" s="98"/>
      <c r="X65" s="97"/>
      <c r="Y65" s="99"/>
      <c r="Z65" s="98"/>
      <c r="AA65" s="97"/>
      <c r="AB65" s="95"/>
      <c r="AC65" s="98"/>
      <c r="AD65" s="97"/>
      <c r="AE65" s="99"/>
      <c r="AF65" s="98"/>
      <c r="AG65" s="97"/>
      <c r="AH65" s="265">
        <f>+Janvier!AJ65</f>
        <v>2561.7857142857147</v>
      </c>
      <c r="AI65" s="231">
        <f>+Janvier!AK65</f>
        <v>7970</v>
      </c>
      <c r="AJ65" s="231">
        <f>+Janvier!AL65</f>
        <v>5977.4999999999991</v>
      </c>
      <c r="AK65" s="231">
        <f>+Janvier!AM65</f>
        <v>5977.4999999999991</v>
      </c>
      <c r="AL65" s="231">
        <f>+Janvier!AN65</f>
        <v>3622.727272727273</v>
      </c>
      <c r="AM65" s="231">
        <f>+Janvier!AO65</f>
        <v>2241.5625</v>
      </c>
      <c r="AN65" s="231">
        <f>+Janvier!AP65</f>
        <v>4483.125</v>
      </c>
      <c r="AO65" s="231">
        <f>+Janvier!AQ65</f>
        <v>2241.5625</v>
      </c>
      <c r="AP65" s="231">
        <f>+Janvier!AR65</f>
        <v>2241.5625</v>
      </c>
      <c r="AQ65" s="231">
        <f>+Janvier!AS65</f>
        <v>3985</v>
      </c>
      <c r="AR65" s="16">
        <f t="shared" si="97"/>
        <v>0</v>
      </c>
      <c r="AS65" s="16">
        <f t="shared" si="98"/>
        <v>0</v>
      </c>
      <c r="AT65" s="16">
        <f t="shared" si="99"/>
        <v>0</v>
      </c>
      <c r="AU65" s="16">
        <f t="shared" si="100"/>
        <v>0</v>
      </c>
      <c r="AV65" s="16">
        <f t="shared" si="101"/>
        <v>0</v>
      </c>
      <c r="AW65" s="16">
        <f t="shared" si="102"/>
        <v>0</v>
      </c>
      <c r="AX65" s="16">
        <f t="shared" si="103"/>
        <v>0</v>
      </c>
      <c r="AY65" s="16">
        <f t="shared" si="104"/>
        <v>0</v>
      </c>
      <c r="AZ65" s="16">
        <f t="shared" si="105"/>
        <v>0</v>
      </c>
      <c r="BA65" s="17">
        <f t="shared" si="106"/>
        <v>0</v>
      </c>
    </row>
    <row r="66" spans="1:53" ht="15.6" x14ac:dyDescent="0.3">
      <c r="A66" s="199" t="s">
        <v>32</v>
      </c>
      <c r="B66" s="257"/>
      <c r="C66" s="233"/>
      <c r="D66" s="95"/>
      <c r="E66" s="98"/>
      <c r="F66" s="97"/>
      <c r="G66" s="99"/>
      <c r="H66" s="98"/>
      <c r="I66" s="97"/>
      <c r="J66" s="99"/>
      <c r="K66" s="98"/>
      <c r="L66" s="97"/>
      <c r="M66" s="99"/>
      <c r="N66" s="98"/>
      <c r="O66" s="97"/>
      <c r="P66" s="99"/>
      <c r="Q66" s="98"/>
      <c r="R66" s="97"/>
      <c r="S66" s="99"/>
      <c r="T66" s="98"/>
      <c r="U66" s="97"/>
      <c r="V66" s="99"/>
      <c r="W66" s="98"/>
      <c r="X66" s="97"/>
      <c r="Y66" s="99"/>
      <c r="Z66" s="98"/>
      <c r="AA66" s="97"/>
      <c r="AB66" s="95"/>
      <c r="AC66" s="98"/>
      <c r="AD66" s="97"/>
      <c r="AE66" s="99"/>
      <c r="AF66" s="98"/>
      <c r="AG66" s="97"/>
      <c r="AH66" s="265">
        <f>+Janvier!AJ66</f>
        <v>1732.3763736263736</v>
      </c>
      <c r="AI66" s="231">
        <f>+Janvier!AK66</f>
        <v>5389.6153846153857</v>
      </c>
      <c r="AJ66" s="231">
        <f>+Janvier!AL66</f>
        <v>4042.211538461539</v>
      </c>
      <c r="AK66" s="231">
        <f>+Janvier!AM66</f>
        <v>4042.211538461539</v>
      </c>
      <c r="AL66" s="231">
        <f>+Janvier!AN66</f>
        <v>2449.8251748251751</v>
      </c>
      <c r="AM66" s="231">
        <f>+Janvier!AO66</f>
        <v>1515.8293269230767</v>
      </c>
      <c r="AN66" s="231">
        <f>+Janvier!AP66</f>
        <v>3031.6586538461534</v>
      </c>
      <c r="AO66" s="231">
        <f>+Janvier!AQ66</f>
        <v>1515.8293269230767</v>
      </c>
      <c r="AP66" s="231">
        <f>+Janvier!AR66</f>
        <v>1515.8293269230767</v>
      </c>
      <c r="AQ66" s="231">
        <f>+Janvier!AS66</f>
        <v>2694.8076923076928</v>
      </c>
      <c r="AR66" s="16">
        <f t="shared" si="97"/>
        <v>0</v>
      </c>
      <c r="AS66" s="16">
        <f t="shared" si="98"/>
        <v>0</v>
      </c>
      <c r="AT66" s="16">
        <f t="shared" si="99"/>
        <v>0</v>
      </c>
      <c r="AU66" s="16">
        <f t="shared" si="100"/>
        <v>0</v>
      </c>
      <c r="AV66" s="16">
        <f t="shared" si="101"/>
        <v>0</v>
      </c>
      <c r="AW66" s="16">
        <f t="shared" si="102"/>
        <v>0</v>
      </c>
      <c r="AX66" s="16">
        <f t="shared" si="103"/>
        <v>0</v>
      </c>
      <c r="AY66" s="16">
        <f t="shared" si="104"/>
        <v>0</v>
      </c>
      <c r="AZ66" s="16">
        <f t="shared" si="105"/>
        <v>0</v>
      </c>
      <c r="BA66" s="17">
        <f t="shared" si="106"/>
        <v>0</v>
      </c>
    </row>
    <row r="67" spans="1:53" ht="16.2" thickBot="1" x14ac:dyDescent="0.35">
      <c r="A67" s="199" t="s">
        <v>33</v>
      </c>
      <c r="B67" s="270"/>
      <c r="C67" s="271"/>
      <c r="D67" s="111"/>
      <c r="E67" s="263"/>
      <c r="F67" s="110"/>
      <c r="G67" s="264"/>
      <c r="H67" s="263"/>
      <c r="I67" s="110"/>
      <c r="J67" s="264"/>
      <c r="K67" s="263"/>
      <c r="L67" s="110"/>
      <c r="M67" s="264"/>
      <c r="N67" s="263"/>
      <c r="O67" s="110"/>
      <c r="P67" s="264"/>
      <c r="Q67" s="263"/>
      <c r="R67" s="110"/>
      <c r="S67" s="264"/>
      <c r="T67" s="263"/>
      <c r="U67" s="110"/>
      <c r="V67" s="264"/>
      <c r="W67" s="263"/>
      <c r="X67" s="110"/>
      <c r="Y67" s="264"/>
      <c r="Z67" s="263"/>
      <c r="AA67" s="110"/>
      <c r="AB67" s="111"/>
      <c r="AC67" s="263"/>
      <c r="AD67" s="110"/>
      <c r="AE67" s="266"/>
      <c r="AF67" s="267"/>
      <c r="AG67" s="261"/>
      <c r="AH67" s="265">
        <f>+Janvier!AJ67</f>
        <v>1391.4148351648353</v>
      </c>
      <c r="AI67" s="231">
        <f>+Janvier!AK67</f>
        <v>4328.8461538461534</v>
      </c>
      <c r="AJ67" s="231">
        <f>+Janvier!AL67</f>
        <v>3246.6346153846152</v>
      </c>
      <c r="AK67" s="231">
        <f>+Janvier!AM67</f>
        <v>3246.6346153846152</v>
      </c>
      <c r="AL67" s="231">
        <f>+Janvier!AN67</f>
        <v>1967.6573426573427</v>
      </c>
      <c r="AM67" s="231">
        <f>+Janvier!AO67</f>
        <v>1217.4879807692307</v>
      </c>
      <c r="AN67" s="231">
        <f>+Janvier!AP67</f>
        <v>2434.9759615384614</v>
      </c>
      <c r="AO67" s="231">
        <f>+Janvier!AQ67</f>
        <v>1217.4879807692307</v>
      </c>
      <c r="AP67" s="231">
        <f>+Janvier!AR67</f>
        <v>1217.4879807692307</v>
      </c>
      <c r="AQ67" s="231">
        <f>+Janvier!AS67</f>
        <v>2164.4230769230767</v>
      </c>
      <c r="AR67" s="32">
        <f t="shared" si="97"/>
        <v>0</v>
      </c>
      <c r="AS67" s="32">
        <f t="shared" si="98"/>
        <v>0</v>
      </c>
      <c r="AT67" s="32">
        <f t="shared" si="99"/>
        <v>0</v>
      </c>
      <c r="AU67" s="32">
        <f t="shared" si="100"/>
        <v>0</v>
      </c>
      <c r="AV67" s="32">
        <f t="shared" si="101"/>
        <v>0</v>
      </c>
      <c r="AW67" s="32">
        <f t="shared" si="102"/>
        <v>0</v>
      </c>
      <c r="AX67" s="32">
        <f t="shared" si="103"/>
        <v>0</v>
      </c>
      <c r="AY67" s="32">
        <f t="shared" si="104"/>
        <v>0</v>
      </c>
      <c r="AZ67" s="32">
        <f t="shared" si="105"/>
        <v>0</v>
      </c>
      <c r="BA67" s="33">
        <f t="shared" si="106"/>
        <v>0</v>
      </c>
    </row>
    <row r="68" spans="1:53" ht="15.6" x14ac:dyDescent="0.3">
      <c r="A68" s="202" t="s">
        <v>86</v>
      </c>
      <c r="B68" s="256"/>
      <c r="C68" s="160"/>
      <c r="D68" s="268"/>
      <c r="E68" s="123"/>
      <c r="F68" s="124"/>
      <c r="G68" s="125"/>
      <c r="H68" s="123"/>
      <c r="I68" s="124"/>
      <c r="J68" s="125"/>
      <c r="K68" s="123"/>
      <c r="L68" s="124"/>
      <c r="M68" s="125"/>
      <c r="N68" s="123"/>
      <c r="O68" s="124"/>
      <c r="P68" s="125"/>
      <c r="Q68" s="123"/>
      <c r="R68" s="124"/>
      <c r="S68" s="125"/>
      <c r="T68" s="123"/>
      <c r="U68" s="124"/>
      <c r="V68" s="125"/>
      <c r="W68" s="123"/>
      <c r="X68" s="124"/>
      <c r="Y68" s="125"/>
      <c r="Z68" s="123"/>
      <c r="AA68" s="124"/>
      <c r="AB68" s="125"/>
      <c r="AC68" s="123"/>
      <c r="AD68" s="124"/>
      <c r="AE68" s="125"/>
      <c r="AF68" s="123"/>
      <c r="AG68" s="124"/>
      <c r="AH68" s="265">
        <f>+Janvier!AJ68</f>
        <v>88119.9</v>
      </c>
      <c r="AI68" s="231">
        <f>+Janvier!AK68</f>
        <v>305254.47115384619</v>
      </c>
      <c r="AJ68" s="231">
        <f>+Janvier!AL68</f>
        <v>203299.47778846158</v>
      </c>
      <c r="AK68" s="231">
        <f>+Janvier!AM68</f>
        <v>203299.47778846158</v>
      </c>
      <c r="AL68" s="231">
        <f>+Janvier!AN68</f>
        <v>128206.87788461539</v>
      </c>
      <c r="AM68" s="231">
        <f>+Janvier!AO68</f>
        <v>76313.617788461546</v>
      </c>
      <c r="AN68" s="231">
        <f>+Janvier!AP68</f>
        <v>152627.23557692309</v>
      </c>
      <c r="AO68" s="231">
        <f>+Janvier!AQ68</f>
        <v>76313.617788461546</v>
      </c>
      <c r="AP68" s="231">
        <f>+Janvier!AR68</f>
        <v>76313.617788461546</v>
      </c>
      <c r="AQ68" s="231">
        <f>+Janvier!AS68</f>
        <v>136801.52307692307</v>
      </c>
      <c r="AR68" s="16">
        <f>ROUND(E68/(AH68/15),0)</f>
        <v>0</v>
      </c>
      <c r="AS68" s="16">
        <f t="shared" ref="AS68" si="107">ROUND(H68/(AI68/15),0)</f>
        <v>0</v>
      </c>
      <c r="AT68" s="16">
        <f t="shared" ref="AT68" si="108">ROUND(K68/(AJ68/15),0)</f>
        <v>0</v>
      </c>
      <c r="AU68" s="16">
        <f t="shared" ref="AU68" si="109">ROUND(N68/(AK68/15),0)</f>
        <v>0</v>
      </c>
      <c r="AV68" s="16">
        <f t="shared" ref="AV68" si="110">ROUND(Q68/(AL68/15),0)</f>
        <v>0</v>
      </c>
      <c r="AW68" s="16">
        <f t="shared" ref="AW68" si="111">ROUND(T68/(AM68/15),0)</f>
        <v>0</v>
      </c>
      <c r="AX68" s="16">
        <f t="shared" ref="AX68" si="112">ROUND(W68/(AN68/15),0)</f>
        <v>0</v>
      </c>
      <c r="AY68" s="16">
        <f t="shared" ref="AY68" si="113">ROUND(Z68/(AO68/15),0)</f>
        <v>0</v>
      </c>
      <c r="AZ68" s="16">
        <f t="shared" ref="AZ68" si="114">ROUND(AC68/(AP68/15),0)</f>
        <v>0</v>
      </c>
      <c r="BA68" s="17">
        <f t="shared" ref="BA68" si="115">ROUND(AF68/(AQ68/15),0)</f>
        <v>0</v>
      </c>
    </row>
    <row r="69" spans="1:53" ht="15.6" x14ac:dyDescent="0.3">
      <c r="A69" s="199" t="s">
        <v>63</v>
      </c>
      <c r="B69" s="257"/>
      <c r="C69" s="94"/>
      <c r="D69" s="237"/>
      <c r="E69" s="96"/>
      <c r="F69" s="97"/>
      <c r="G69" s="95"/>
      <c r="H69" s="96"/>
      <c r="I69" s="97"/>
      <c r="J69" s="95"/>
      <c r="K69" s="96"/>
      <c r="L69" s="97"/>
      <c r="M69" s="95"/>
      <c r="N69" s="96"/>
      <c r="O69" s="97"/>
      <c r="P69" s="95"/>
      <c r="Q69" s="96"/>
      <c r="R69" s="97"/>
      <c r="S69" s="95"/>
      <c r="T69" s="96"/>
      <c r="U69" s="97"/>
      <c r="V69" s="95"/>
      <c r="W69" s="96"/>
      <c r="X69" s="97"/>
      <c r="Y69" s="95"/>
      <c r="Z69" s="96"/>
      <c r="AA69" s="97"/>
      <c r="AB69" s="95"/>
      <c r="AC69" s="96"/>
      <c r="AD69" s="97"/>
      <c r="AE69" s="95"/>
      <c r="AF69" s="96"/>
      <c r="AG69" s="97"/>
      <c r="AH69" s="265">
        <f>+Janvier!AJ69</f>
        <v>792.19780219780216</v>
      </c>
      <c r="AI69" s="231">
        <f>+Janvier!AK69</f>
        <v>2464.6153846153848</v>
      </c>
      <c r="AJ69" s="231">
        <f>+Janvier!AL69</f>
        <v>1848.4615384615383</v>
      </c>
      <c r="AK69" s="231">
        <f>+Janvier!AM69</f>
        <v>1848.4615384615383</v>
      </c>
      <c r="AL69" s="231">
        <f>+Janvier!AN69</f>
        <v>1120.2797202797203</v>
      </c>
      <c r="AM69" s="231">
        <f>+Janvier!AO69</f>
        <v>693.17307692307691</v>
      </c>
      <c r="AN69" s="231">
        <f>+Janvier!AP69</f>
        <v>1386.3461538461538</v>
      </c>
      <c r="AO69" s="231">
        <f>+Janvier!AQ69</f>
        <v>693.17307692307691</v>
      </c>
      <c r="AP69" s="231">
        <f>+Janvier!AR69</f>
        <v>693.17307692307691</v>
      </c>
      <c r="AQ69" s="231">
        <f>+Janvier!AS69</f>
        <v>1232.3076923076924</v>
      </c>
      <c r="AR69" s="16">
        <f t="shared" ref="AR69:AR79" si="116">ROUND(E69/(AH69/5),0)</f>
        <v>0</v>
      </c>
      <c r="AS69" s="16">
        <f t="shared" ref="AS69:AS79" si="117">ROUND(H69/(AI69/5),0)</f>
        <v>0</v>
      </c>
      <c r="AT69" s="16">
        <f t="shared" ref="AT69:AT79" si="118">ROUND(K69/(AJ69/5),0)</f>
        <v>0</v>
      </c>
      <c r="AU69" s="16">
        <f t="shared" ref="AU69:AU79" si="119">ROUND(N69/(AK69/5),0)</f>
        <v>0</v>
      </c>
      <c r="AV69" s="16">
        <f t="shared" ref="AV69:AV79" si="120">ROUND(Q69/(AL69/5),0)</f>
        <v>0</v>
      </c>
      <c r="AW69" s="16">
        <f t="shared" ref="AW69:AW79" si="121">ROUND(T69/(AM69/5),0)</f>
        <v>0</v>
      </c>
      <c r="AX69" s="16">
        <f t="shared" ref="AX69:AX79" si="122">ROUND(W69/(AN69/5),0)</f>
        <v>0</v>
      </c>
      <c r="AY69" s="16">
        <f t="shared" ref="AY69:AY79" si="123">ROUND(Z69/(AO69/5),0)</f>
        <v>0</v>
      </c>
      <c r="AZ69" s="16">
        <f t="shared" ref="AZ69:AZ79" si="124">ROUND(AC69/(AP69/5),0)</f>
        <v>0</v>
      </c>
      <c r="BA69" s="17">
        <f t="shared" ref="BA69:BA79" si="125">ROUND(AF69/(AQ69/5),0)</f>
        <v>0</v>
      </c>
    </row>
    <row r="70" spans="1:53" ht="15.6" x14ac:dyDescent="0.3">
      <c r="A70" s="199" t="s">
        <v>64</v>
      </c>
      <c r="B70" s="257"/>
      <c r="C70" s="94"/>
      <c r="D70" s="237"/>
      <c r="E70" s="96"/>
      <c r="F70" s="97"/>
      <c r="G70" s="95"/>
      <c r="H70" s="96"/>
      <c r="I70" s="97"/>
      <c r="J70" s="95"/>
      <c r="K70" s="96"/>
      <c r="L70" s="97"/>
      <c r="M70" s="95"/>
      <c r="N70" s="96"/>
      <c r="O70" s="97"/>
      <c r="P70" s="95"/>
      <c r="Q70" s="96"/>
      <c r="R70" s="97"/>
      <c r="S70" s="95"/>
      <c r="T70" s="96"/>
      <c r="U70" s="97"/>
      <c r="V70" s="95"/>
      <c r="W70" s="96"/>
      <c r="X70" s="97"/>
      <c r="Y70" s="95"/>
      <c r="Z70" s="96"/>
      <c r="AA70" s="97"/>
      <c r="AB70" s="95"/>
      <c r="AC70" s="96"/>
      <c r="AD70" s="97"/>
      <c r="AE70" s="95"/>
      <c r="AF70" s="96"/>
      <c r="AG70" s="97"/>
      <c r="AH70" s="265">
        <f>+Janvier!AJ70</f>
        <v>1980.7417582417584</v>
      </c>
      <c r="AI70" s="231">
        <f>+Janvier!AK70</f>
        <v>6162.3076923076933</v>
      </c>
      <c r="AJ70" s="231">
        <f>+Janvier!AL70</f>
        <v>4621.7307692307704</v>
      </c>
      <c r="AK70" s="231">
        <f>+Janvier!AM70</f>
        <v>4621.7307692307704</v>
      </c>
      <c r="AL70" s="231">
        <f>+Janvier!AN70</f>
        <v>2801.0489510489515</v>
      </c>
      <c r="AM70" s="231">
        <f>+Janvier!AO70</f>
        <v>1733.1490384615383</v>
      </c>
      <c r="AN70" s="231">
        <f>+Janvier!AP70</f>
        <v>3466.2980769230767</v>
      </c>
      <c r="AO70" s="231">
        <f>+Janvier!AQ70</f>
        <v>1733.1490384615383</v>
      </c>
      <c r="AP70" s="231">
        <f>+Janvier!AR70</f>
        <v>1733.1490384615383</v>
      </c>
      <c r="AQ70" s="231">
        <f>+Janvier!AS70</f>
        <v>3081.1538461538466</v>
      </c>
      <c r="AR70" s="16">
        <f t="shared" si="116"/>
        <v>0</v>
      </c>
      <c r="AS70" s="16">
        <f t="shared" si="117"/>
        <v>0</v>
      </c>
      <c r="AT70" s="16">
        <f t="shared" si="118"/>
        <v>0</v>
      </c>
      <c r="AU70" s="16">
        <f t="shared" si="119"/>
        <v>0</v>
      </c>
      <c r="AV70" s="16">
        <f t="shared" si="120"/>
        <v>0</v>
      </c>
      <c r="AW70" s="16">
        <f t="shared" si="121"/>
        <v>0</v>
      </c>
      <c r="AX70" s="16">
        <f t="shared" si="122"/>
        <v>0</v>
      </c>
      <c r="AY70" s="16">
        <f t="shared" si="123"/>
        <v>0</v>
      </c>
      <c r="AZ70" s="16">
        <f t="shared" si="124"/>
        <v>0</v>
      </c>
      <c r="BA70" s="17">
        <f t="shared" si="125"/>
        <v>0</v>
      </c>
    </row>
    <row r="71" spans="1:53" ht="15.6" x14ac:dyDescent="0.3">
      <c r="A71" s="199" t="s">
        <v>65</v>
      </c>
      <c r="B71" s="257"/>
      <c r="C71" s="94"/>
      <c r="D71" s="237"/>
      <c r="E71" s="96"/>
      <c r="F71" s="97"/>
      <c r="G71" s="95"/>
      <c r="H71" s="96"/>
      <c r="I71" s="97"/>
      <c r="J71" s="95"/>
      <c r="K71" s="96"/>
      <c r="L71" s="97"/>
      <c r="M71" s="95"/>
      <c r="N71" s="96"/>
      <c r="O71" s="97"/>
      <c r="P71" s="95"/>
      <c r="Q71" s="96"/>
      <c r="R71" s="97"/>
      <c r="S71" s="95"/>
      <c r="T71" s="96"/>
      <c r="U71" s="97"/>
      <c r="V71" s="95"/>
      <c r="W71" s="96"/>
      <c r="X71" s="97"/>
      <c r="Y71" s="95"/>
      <c r="Z71" s="96"/>
      <c r="AA71" s="97"/>
      <c r="AB71" s="95"/>
      <c r="AC71" s="96"/>
      <c r="AD71" s="97"/>
      <c r="AE71" s="95"/>
      <c r="AF71" s="96"/>
      <c r="AG71" s="97"/>
      <c r="AH71" s="265">
        <f>+Janvier!AJ71</f>
        <v>2906.4560439560446</v>
      </c>
      <c r="AI71" s="231">
        <f>+Janvier!AK71</f>
        <v>9042.3076923076933</v>
      </c>
      <c r="AJ71" s="231">
        <f>+Janvier!AL71</f>
        <v>6781.7307692307695</v>
      </c>
      <c r="AK71" s="231">
        <f>+Janvier!AM71</f>
        <v>6781.7307692307695</v>
      </c>
      <c r="AL71" s="231">
        <f>+Janvier!AN71</f>
        <v>4110.1398601398605</v>
      </c>
      <c r="AM71" s="231">
        <f>+Janvier!AO71</f>
        <v>2543.1490384615386</v>
      </c>
      <c r="AN71" s="231">
        <f>+Janvier!AP71</f>
        <v>5086.2980769230771</v>
      </c>
      <c r="AO71" s="231">
        <f>+Janvier!AQ71</f>
        <v>2543.1490384615386</v>
      </c>
      <c r="AP71" s="231">
        <f>+Janvier!AR71</f>
        <v>2543.1490384615386</v>
      </c>
      <c r="AQ71" s="231">
        <f>+Janvier!AS71</f>
        <v>4521.1538461538466</v>
      </c>
      <c r="AR71" s="16">
        <f t="shared" si="116"/>
        <v>0</v>
      </c>
      <c r="AS71" s="16">
        <f t="shared" si="117"/>
        <v>0</v>
      </c>
      <c r="AT71" s="16">
        <f t="shared" si="118"/>
        <v>0</v>
      </c>
      <c r="AU71" s="16">
        <f t="shared" si="119"/>
        <v>0</v>
      </c>
      <c r="AV71" s="16">
        <f t="shared" si="120"/>
        <v>0</v>
      </c>
      <c r="AW71" s="16">
        <f t="shared" si="121"/>
        <v>0</v>
      </c>
      <c r="AX71" s="16">
        <f t="shared" si="122"/>
        <v>0</v>
      </c>
      <c r="AY71" s="16">
        <f t="shared" si="123"/>
        <v>0</v>
      </c>
      <c r="AZ71" s="16">
        <f t="shared" si="124"/>
        <v>0</v>
      </c>
      <c r="BA71" s="17">
        <f t="shared" si="125"/>
        <v>0</v>
      </c>
    </row>
    <row r="72" spans="1:53" ht="15.6" x14ac:dyDescent="0.3">
      <c r="A72" s="203" t="s">
        <v>66</v>
      </c>
      <c r="B72" s="257"/>
      <c r="C72" s="94"/>
      <c r="D72" s="237"/>
      <c r="E72" s="96"/>
      <c r="F72" s="97"/>
      <c r="G72" s="95"/>
      <c r="H72" s="96"/>
      <c r="I72" s="97"/>
      <c r="J72" s="95"/>
      <c r="K72" s="96"/>
      <c r="L72" s="97"/>
      <c r="M72" s="95"/>
      <c r="N72" s="96"/>
      <c r="O72" s="97"/>
      <c r="P72" s="95"/>
      <c r="Q72" s="96"/>
      <c r="R72" s="97"/>
      <c r="S72" s="95"/>
      <c r="T72" s="96"/>
      <c r="U72" s="97"/>
      <c r="V72" s="95"/>
      <c r="W72" s="96"/>
      <c r="X72" s="97"/>
      <c r="Y72" s="95"/>
      <c r="Z72" s="96"/>
      <c r="AA72" s="97"/>
      <c r="AB72" s="95"/>
      <c r="AC72" s="96"/>
      <c r="AD72" s="97"/>
      <c r="AE72" s="95"/>
      <c r="AF72" s="96"/>
      <c r="AG72" s="97"/>
      <c r="AH72" s="265">
        <f>+Janvier!AJ72</f>
        <v>2692.335164835165</v>
      </c>
      <c r="AI72" s="231">
        <f>+Janvier!AK72</f>
        <v>8376.1538461538457</v>
      </c>
      <c r="AJ72" s="231">
        <f>+Janvier!AL72</f>
        <v>6282.1153846153857</v>
      </c>
      <c r="AK72" s="231">
        <f>+Janvier!AM72</f>
        <v>6282.1153846153857</v>
      </c>
      <c r="AL72" s="231">
        <f>+Janvier!AN72</f>
        <v>3807.3426573426577</v>
      </c>
      <c r="AM72" s="231">
        <f>+Janvier!AO72</f>
        <v>2355.7932692307695</v>
      </c>
      <c r="AN72" s="231">
        <f>+Janvier!AP72</f>
        <v>4711.586538461539</v>
      </c>
      <c r="AO72" s="231">
        <f>+Janvier!AQ72</f>
        <v>2355.7932692307695</v>
      </c>
      <c r="AP72" s="231">
        <f>+Janvier!AR72</f>
        <v>2355.7932692307695</v>
      </c>
      <c r="AQ72" s="231">
        <f>+Janvier!AS72</f>
        <v>4188.0769230769229</v>
      </c>
      <c r="AR72" s="16">
        <f t="shared" si="116"/>
        <v>0</v>
      </c>
      <c r="AS72" s="16">
        <f t="shared" si="117"/>
        <v>0</v>
      </c>
      <c r="AT72" s="16">
        <f t="shared" si="118"/>
        <v>0</v>
      </c>
      <c r="AU72" s="16">
        <f t="shared" si="119"/>
        <v>0</v>
      </c>
      <c r="AV72" s="16">
        <f t="shared" si="120"/>
        <v>0</v>
      </c>
      <c r="AW72" s="16">
        <f t="shared" si="121"/>
        <v>0</v>
      </c>
      <c r="AX72" s="16">
        <f t="shared" si="122"/>
        <v>0</v>
      </c>
      <c r="AY72" s="16">
        <f t="shared" si="123"/>
        <v>0</v>
      </c>
      <c r="AZ72" s="16">
        <f t="shared" si="124"/>
        <v>0</v>
      </c>
      <c r="BA72" s="17">
        <f t="shared" si="125"/>
        <v>0</v>
      </c>
    </row>
    <row r="73" spans="1:53" ht="15.6" x14ac:dyDescent="0.3">
      <c r="A73" s="203" t="s">
        <v>67</v>
      </c>
      <c r="B73" s="257"/>
      <c r="C73" s="94"/>
      <c r="D73" s="237"/>
      <c r="E73" s="96"/>
      <c r="F73" s="97"/>
      <c r="G73" s="95"/>
      <c r="H73" s="96"/>
      <c r="I73" s="97"/>
      <c r="J73" s="95"/>
      <c r="K73" s="96"/>
      <c r="L73" s="97"/>
      <c r="M73" s="95"/>
      <c r="N73" s="96"/>
      <c r="O73" s="97"/>
      <c r="P73" s="95"/>
      <c r="Q73" s="96"/>
      <c r="R73" s="97"/>
      <c r="S73" s="95"/>
      <c r="T73" s="96"/>
      <c r="U73" s="97"/>
      <c r="V73" s="95"/>
      <c r="W73" s="96"/>
      <c r="X73" s="97"/>
      <c r="Y73" s="95"/>
      <c r="Z73" s="96"/>
      <c r="AA73" s="97"/>
      <c r="AB73" s="95"/>
      <c r="AC73" s="96"/>
      <c r="AD73" s="97"/>
      <c r="AE73" s="95"/>
      <c r="AF73" s="96"/>
      <c r="AG73" s="97"/>
      <c r="AH73" s="265">
        <f>+Janvier!AJ73</f>
        <v>4744.9038461538466</v>
      </c>
      <c r="AI73" s="231">
        <f>+Janvier!AK73</f>
        <v>14761.923076923076</v>
      </c>
      <c r="AJ73" s="231">
        <f>+Janvier!AL73</f>
        <v>11071.442307692309</v>
      </c>
      <c r="AK73" s="231">
        <f>+Janvier!AM73</f>
        <v>11071.442307692309</v>
      </c>
      <c r="AL73" s="231">
        <f>+Janvier!AN73</f>
        <v>6709.9650349650356</v>
      </c>
      <c r="AM73" s="231">
        <f>+Janvier!AO73</f>
        <v>4151.7908653846152</v>
      </c>
      <c r="AN73" s="231">
        <f>+Janvier!AP73</f>
        <v>8303.5817307692305</v>
      </c>
      <c r="AO73" s="231">
        <f>+Janvier!AQ73</f>
        <v>4151.7908653846152</v>
      </c>
      <c r="AP73" s="231">
        <f>+Janvier!AR73</f>
        <v>4151.7908653846152</v>
      </c>
      <c r="AQ73" s="231">
        <f>+Janvier!AS73</f>
        <v>7380.9615384615381</v>
      </c>
      <c r="AR73" s="16">
        <f t="shared" si="116"/>
        <v>0</v>
      </c>
      <c r="AS73" s="16">
        <f t="shared" si="117"/>
        <v>0</v>
      </c>
      <c r="AT73" s="16">
        <f t="shared" si="118"/>
        <v>0</v>
      </c>
      <c r="AU73" s="16">
        <f t="shared" si="119"/>
        <v>0</v>
      </c>
      <c r="AV73" s="16">
        <f t="shared" si="120"/>
        <v>0</v>
      </c>
      <c r="AW73" s="16">
        <f t="shared" si="121"/>
        <v>0</v>
      </c>
      <c r="AX73" s="16">
        <f t="shared" si="122"/>
        <v>0</v>
      </c>
      <c r="AY73" s="16">
        <f t="shared" si="123"/>
        <v>0</v>
      </c>
      <c r="AZ73" s="16">
        <f t="shared" si="124"/>
        <v>0</v>
      </c>
      <c r="BA73" s="17">
        <f t="shared" si="125"/>
        <v>0</v>
      </c>
    </row>
    <row r="74" spans="1:53" ht="15.6" x14ac:dyDescent="0.3">
      <c r="A74" s="203" t="s">
        <v>68</v>
      </c>
      <c r="B74" s="257"/>
      <c r="C74" s="94"/>
      <c r="D74" s="237"/>
      <c r="E74" s="96"/>
      <c r="F74" s="97"/>
      <c r="G74" s="95"/>
      <c r="H74" s="96"/>
      <c r="I74" s="97"/>
      <c r="J74" s="95"/>
      <c r="K74" s="96"/>
      <c r="L74" s="97"/>
      <c r="M74" s="95"/>
      <c r="N74" s="96"/>
      <c r="O74" s="97"/>
      <c r="P74" s="95"/>
      <c r="Q74" s="96"/>
      <c r="R74" s="97"/>
      <c r="S74" s="95"/>
      <c r="T74" s="96"/>
      <c r="U74" s="97"/>
      <c r="V74" s="95"/>
      <c r="W74" s="96"/>
      <c r="X74" s="97"/>
      <c r="Y74" s="95"/>
      <c r="Z74" s="96"/>
      <c r="AA74" s="97"/>
      <c r="AB74" s="95"/>
      <c r="AC74" s="96"/>
      <c r="AD74" s="97"/>
      <c r="AE74" s="95"/>
      <c r="AF74" s="96"/>
      <c r="AG74" s="97"/>
      <c r="AH74" s="265">
        <f>+Janvier!AJ74</f>
        <v>3278.4478021978025</v>
      </c>
      <c r="AI74" s="231">
        <f>+Janvier!AK74</f>
        <v>10199.615384615387</v>
      </c>
      <c r="AJ74" s="231">
        <f>+Janvier!AL74</f>
        <v>7649.7115384615381</v>
      </c>
      <c r="AK74" s="231">
        <f>+Janvier!AM74</f>
        <v>7649.7115384615381</v>
      </c>
      <c r="AL74" s="231">
        <f>+Janvier!AN74</f>
        <v>4636.188811188812</v>
      </c>
      <c r="AM74" s="231">
        <f>+Janvier!AO74</f>
        <v>2868.6418269230771</v>
      </c>
      <c r="AN74" s="231">
        <f>+Janvier!AP74</f>
        <v>5737.2836538461543</v>
      </c>
      <c r="AO74" s="231">
        <f>+Janvier!AQ74</f>
        <v>2868.6418269230771</v>
      </c>
      <c r="AP74" s="231">
        <f>+Janvier!AR74</f>
        <v>2868.6418269230771</v>
      </c>
      <c r="AQ74" s="231">
        <f>+Janvier!AS74</f>
        <v>5099.8076923076933</v>
      </c>
      <c r="AR74" s="16">
        <f t="shared" si="116"/>
        <v>0</v>
      </c>
      <c r="AS74" s="16">
        <f t="shared" si="117"/>
        <v>0</v>
      </c>
      <c r="AT74" s="16">
        <f t="shared" si="118"/>
        <v>0</v>
      </c>
      <c r="AU74" s="16">
        <f t="shared" si="119"/>
        <v>0</v>
      </c>
      <c r="AV74" s="16">
        <f t="shared" si="120"/>
        <v>0</v>
      </c>
      <c r="AW74" s="16">
        <f t="shared" si="121"/>
        <v>0</v>
      </c>
      <c r="AX74" s="16">
        <f t="shared" si="122"/>
        <v>0</v>
      </c>
      <c r="AY74" s="16">
        <f t="shared" si="123"/>
        <v>0</v>
      </c>
      <c r="AZ74" s="16">
        <f t="shared" si="124"/>
        <v>0</v>
      </c>
      <c r="BA74" s="17">
        <f t="shared" si="125"/>
        <v>0</v>
      </c>
    </row>
    <row r="75" spans="1:53" ht="15.6" x14ac:dyDescent="0.3">
      <c r="A75" s="203" t="s">
        <v>69</v>
      </c>
      <c r="B75" s="257"/>
      <c r="C75" s="94"/>
      <c r="D75" s="237"/>
      <c r="E75" s="96"/>
      <c r="F75" s="97"/>
      <c r="G75" s="95"/>
      <c r="H75" s="96"/>
      <c r="I75" s="97"/>
      <c r="J75" s="95"/>
      <c r="K75" s="96"/>
      <c r="L75" s="97"/>
      <c r="M75" s="95"/>
      <c r="N75" s="96"/>
      <c r="O75" s="97"/>
      <c r="P75" s="95"/>
      <c r="Q75" s="96"/>
      <c r="R75" s="97"/>
      <c r="S75" s="95"/>
      <c r="T75" s="96"/>
      <c r="U75" s="97"/>
      <c r="V75" s="95"/>
      <c r="W75" s="96"/>
      <c r="X75" s="97"/>
      <c r="Y75" s="95"/>
      <c r="Z75" s="96"/>
      <c r="AA75" s="97"/>
      <c r="AB75" s="95"/>
      <c r="AC75" s="96"/>
      <c r="AD75" s="97"/>
      <c r="AE75" s="95"/>
      <c r="AF75" s="96"/>
      <c r="AG75" s="97"/>
      <c r="AH75" s="265">
        <f>+Janvier!AJ75</f>
        <v>4167.9395604395613</v>
      </c>
      <c r="AI75" s="231">
        <f>+Janvier!AK75</f>
        <v>12966.923076923082</v>
      </c>
      <c r="AJ75" s="231">
        <f>+Janvier!AL75</f>
        <v>9725.1923076923085</v>
      </c>
      <c r="AK75" s="231">
        <f>+Janvier!AM75</f>
        <v>9725.1923076923085</v>
      </c>
      <c r="AL75" s="231">
        <f>+Janvier!AN75</f>
        <v>5894.0559440559446</v>
      </c>
      <c r="AM75" s="231">
        <f>+Janvier!AO75</f>
        <v>3646.9471153846152</v>
      </c>
      <c r="AN75" s="231">
        <f>+Janvier!AP75</f>
        <v>7293.8942307692305</v>
      </c>
      <c r="AO75" s="231">
        <f>+Janvier!AQ75</f>
        <v>3646.9471153846152</v>
      </c>
      <c r="AP75" s="231">
        <f>+Janvier!AR75</f>
        <v>3646.9471153846152</v>
      </c>
      <c r="AQ75" s="231">
        <f>+Janvier!AS75</f>
        <v>6483.4615384615408</v>
      </c>
      <c r="AR75" s="16">
        <f t="shared" si="116"/>
        <v>0</v>
      </c>
      <c r="AS75" s="16">
        <f t="shared" si="117"/>
        <v>0</v>
      </c>
      <c r="AT75" s="16">
        <f t="shared" si="118"/>
        <v>0</v>
      </c>
      <c r="AU75" s="16">
        <f t="shared" si="119"/>
        <v>0</v>
      </c>
      <c r="AV75" s="16">
        <f t="shared" si="120"/>
        <v>0</v>
      </c>
      <c r="AW75" s="16">
        <f t="shared" si="121"/>
        <v>0</v>
      </c>
      <c r="AX75" s="16">
        <f t="shared" si="122"/>
        <v>0</v>
      </c>
      <c r="AY75" s="16">
        <f t="shared" si="123"/>
        <v>0</v>
      </c>
      <c r="AZ75" s="16">
        <f t="shared" si="124"/>
        <v>0</v>
      </c>
      <c r="BA75" s="17">
        <f t="shared" si="125"/>
        <v>0</v>
      </c>
    </row>
    <row r="76" spans="1:53" ht="15.6" x14ac:dyDescent="0.3">
      <c r="A76" s="203" t="s">
        <v>70</v>
      </c>
      <c r="B76" s="257"/>
      <c r="C76" s="94"/>
      <c r="D76" s="237"/>
      <c r="E76" s="96"/>
      <c r="F76" s="97"/>
      <c r="G76" s="95"/>
      <c r="H76" s="96"/>
      <c r="I76" s="97"/>
      <c r="J76" s="95"/>
      <c r="K76" s="96"/>
      <c r="L76" s="97"/>
      <c r="M76" s="95"/>
      <c r="N76" s="96"/>
      <c r="O76" s="97"/>
      <c r="P76" s="95"/>
      <c r="Q76" s="96"/>
      <c r="R76" s="97"/>
      <c r="S76" s="95"/>
      <c r="T76" s="96"/>
      <c r="U76" s="97"/>
      <c r="V76" s="95"/>
      <c r="W76" s="96"/>
      <c r="X76" s="97"/>
      <c r="Y76" s="95"/>
      <c r="Z76" s="96"/>
      <c r="AA76" s="97"/>
      <c r="AB76" s="95"/>
      <c r="AC76" s="96"/>
      <c r="AD76" s="97"/>
      <c r="AE76" s="95"/>
      <c r="AF76" s="96"/>
      <c r="AG76" s="97"/>
      <c r="AH76" s="265">
        <f>+Janvier!AJ76</f>
        <v>2027.1016483516485</v>
      </c>
      <c r="AI76" s="231">
        <f>+Janvier!AK76</f>
        <v>6306.5384615384628</v>
      </c>
      <c r="AJ76" s="231">
        <f>+Janvier!AL76</f>
        <v>4729.9038461538466</v>
      </c>
      <c r="AK76" s="231">
        <f>+Janvier!AM76</f>
        <v>4729.9038461538466</v>
      </c>
      <c r="AL76" s="231">
        <f>+Janvier!AN76</f>
        <v>2866.6083916083921</v>
      </c>
      <c r="AM76" s="231">
        <f>+Janvier!AO76</f>
        <v>1773.7139423076924</v>
      </c>
      <c r="AN76" s="231">
        <f>+Janvier!AP76</f>
        <v>3547.4278846153848</v>
      </c>
      <c r="AO76" s="231">
        <f>+Janvier!AQ76</f>
        <v>1773.7139423076924</v>
      </c>
      <c r="AP76" s="231">
        <f>+Janvier!AR76</f>
        <v>1773.7139423076924</v>
      </c>
      <c r="AQ76" s="231">
        <f>+Janvier!AS76</f>
        <v>3153.2692307692314</v>
      </c>
      <c r="AR76" s="16">
        <f t="shared" si="116"/>
        <v>0</v>
      </c>
      <c r="AS76" s="16">
        <f t="shared" si="117"/>
        <v>0</v>
      </c>
      <c r="AT76" s="16">
        <f t="shared" si="118"/>
        <v>0</v>
      </c>
      <c r="AU76" s="16">
        <f t="shared" si="119"/>
        <v>0</v>
      </c>
      <c r="AV76" s="16">
        <f t="shared" si="120"/>
        <v>0</v>
      </c>
      <c r="AW76" s="16">
        <f t="shared" si="121"/>
        <v>0</v>
      </c>
      <c r="AX76" s="16">
        <f t="shared" si="122"/>
        <v>0</v>
      </c>
      <c r="AY76" s="16">
        <f t="shared" si="123"/>
        <v>0</v>
      </c>
      <c r="AZ76" s="16">
        <f t="shared" si="124"/>
        <v>0</v>
      </c>
      <c r="BA76" s="17">
        <f t="shared" si="125"/>
        <v>0</v>
      </c>
    </row>
    <row r="77" spans="1:53" ht="15.6" x14ac:dyDescent="0.3">
      <c r="A77" s="203" t="s">
        <v>71</v>
      </c>
      <c r="B77" s="257"/>
      <c r="C77" s="94"/>
      <c r="D77" s="237"/>
      <c r="E77" s="96"/>
      <c r="F77" s="97"/>
      <c r="G77" s="95"/>
      <c r="H77" s="96"/>
      <c r="I77" s="97"/>
      <c r="J77" s="95"/>
      <c r="K77" s="96"/>
      <c r="L77" s="97"/>
      <c r="M77" s="95"/>
      <c r="N77" s="96"/>
      <c r="O77" s="97"/>
      <c r="P77" s="95"/>
      <c r="Q77" s="96"/>
      <c r="R77" s="97"/>
      <c r="S77" s="95"/>
      <c r="T77" s="96"/>
      <c r="U77" s="97"/>
      <c r="V77" s="95"/>
      <c r="W77" s="96"/>
      <c r="X77" s="97"/>
      <c r="Y77" s="95"/>
      <c r="Z77" s="96"/>
      <c r="AA77" s="97"/>
      <c r="AB77" s="95"/>
      <c r="AC77" s="96"/>
      <c r="AD77" s="97"/>
      <c r="AE77" s="95"/>
      <c r="AF77" s="96"/>
      <c r="AG77" s="97"/>
      <c r="AH77" s="265">
        <f>+Janvier!AJ77</f>
        <v>3524.4642857142853</v>
      </c>
      <c r="AI77" s="231">
        <f>+Janvier!AK77</f>
        <v>10965.000000000002</v>
      </c>
      <c r="AJ77" s="231">
        <f>+Janvier!AL77</f>
        <v>8223.75</v>
      </c>
      <c r="AK77" s="231">
        <f>+Janvier!AM77</f>
        <v>8223.75</v>
      </c>
      <c r="AL77" s="231">
        <f>+Janvier!AN77</f>
        <v>4984.0909090909099</v>
      </c>
      <c r="AM77" s="231">
        <f>+Janvier!AO77</f>
        <v>3083.9062500000005</v>
      </c>
      <c r="AN77" s="231">
        <f>+Janvier!AP77</f>
        <v>6167.8125000000009</v>
      </c>
      <c r="AO77" s="231">
        <f>+Janvier!AQ77</f>
        <v>3083.9062500000005</v>
      </c>
      <c r="AP77" s="231">
        <f>+Janvier!AR77</f>
        <v>3083.9062500000005</v>
      </c>
      <c r="AQ77" s="231">
        <f>+Janvier!AS77</f>
        <v>5482.5000000000009</v>
      </c>
      <c r="AR77" s="16">
        <f t="shared" si="116"/>
        <v>0</v>
      </c>
      <c r="AS77" s="16">
        <f t="shared" si="117"/>
        <v>0</v>
      </c>
      <c r="AT77" s="16">
        <f t="shared" si="118"/>
        <v>0</v>
      </c>
      <c r="AU77" s="16">
        <f t="shared" si="119"/>
        <v>0</v>
      </c>
      <c r="AV77" s="16">
        <f t="shared" si="120"/>
        <v>0</v>
      </c>
      <c r="AW77" s="16">
        <f t="shared" si="121"/>
        <v>0</v>
      </c>
      <c r="AX77" s="16">
        <f t="shared" si="122"/>
        <v>0</v>
      </c>
      <c r="AY77" s="16">
        <f t="shared" si="123"/>
        <v>0</v>
      </c>
      <c r="AZ77" s="16">
        <f t="shared" si="124"/>
        <v>0</v>
      </c>
      <c r="BA77" s="17">
        <f t="shared" si="125"/>
        <v>0</v>
      </c>
    </row>
    <row r="78" spans="1:53" ht="15.6" x14ac:dyDescent="0.3">
      <c r="A78" s="203" t="s">
        <v>72</v>
      </c>
      <c r="B78" s="257"/>
      <c r="C78" s="94"/>
      <c r="D78" s="237"/>
      <c r="E78" s="96"/>
      <c r="F78" s="97"/>
      <c r="G78" s="95"/>
      <c r="H78" s="96"/>
      <c r="I78" s="97"/>
      <c r="J78" s="95"/>
      <c r="K78" s="96"/>
      <c r="L78" s="97"/>
      <c r="M78" s="95"/>
      <c r="N78" s="96"/>
      <c r="O78" s="97"/>
      <c r="P78" s="95"/>
      <c r="Q78" s="96"/>
      <c r="R78" s="97"/>
      <c r="S78" s="95"/>
      <c r="T78" s="96"/>
      <c r="U78" s="97"/>
      <c r="V78" s="95"/>
      <c r="W78" s="96"/>
      <c r="X78" s="97"/>
      <c r="Y78" s="95"/>
      <c r="Z78" s="96"/>
      <c r="AA78" s="97"/>
      <c r="AB78" s="95"/>
      <c r="AC78" s="96"/>
      <c r="AD78" s="97"/>
      <c r="AE78" s="95"/>
      <c r="AF78" s="96"/>
      <c r="AG78" s="97"/>
      <c r="AH78" s="265">
        <f>+Janvier!AJ78</f>
        <v>304.98626373626377</v>
      </c>
      <c r="AI78" s="231">
        <f>+Janvier!AK78</f>
        <v>948.84615384615404</v>
      </c>
      <c r="AJ78" s="231">
        <f>+Janvier!AL78</f>
        <v>711.63461538461547</v>
      </c>
      <c r="AK78" s="231">
        <f>+Janvier!AM78</f>
        <v>711.63461538461547</v>
      </c>
      <c r="AL78" s="231">
        <f>+Janvier!AN78</f>
        <v>431.29370629370635</v>
      </c>
      <c r="AM78" s="231">
        <f>+Janvier!AO78</f>
        <v>266.86298076923077</v>
      </c>
      <c r="AN78" s="231">
        <f>+Janvier!AP78</f>
        <v>533.72596153846155</v>
      </c>
      <c r="AO78" s="231">
        <f>+Janvier!AQ78</f>
        <v>266.86298076923077</v>
      </c>
      <c r="AP78" s="231">
        <f>+Janvier!AR78</f>
        <v>266.86298076923077</v>
      </c>
      <c r="AQ78" s="231">
        <f>+Janvier!AS78</f>
        <v>474.42307692307702</v>
      </c>
      <c r="AR78" s="16">
        <f t="shared" si="116"/>
        <v>0</v>
      </c>
      <c r="AS78" s="16">
        <f t="shared" si="117"/>
        <v>0</v>
      </c>
      <c r="AT78" s="16">
        <f t="shared" si="118"/>
        <v>0</v>
      </c>
      <c r="AU78" s="16">
        <f t="shared" si="119"/>
        <v>0</v>
      </c>
      <c r="AV78" s="16">
        <f t="shared" si="120"/>
        <v>0</v>
      </c>
      <c r="AW78" s="16">
        <f t="shared" si="121"/>
        <v>0</v>
      </c>
      <c r="AX78" s="16">
        <f t="shared" si="122"/>
        <v>0</v>
      </c>
      <c r="AY78" s="16">
        <f t="shared" si="123"/>
        <v>0</v>
      </c>
      <c r="AZ78" s="16">
        <f t="shared" si="124"/>
        <v>0</v>
      </c>
      <c r="BA78" s="17">
        <f t="shared" si="125"/>
        <v>0</v>
      </c>
    </row>
    <row r="79" spans="1:53" ht="16.2" thickBot="1" x14ac:dyDescent="0.35">
      <c r="A79" s="203" t="s">
        <v>73</v>
      </c>
      <c r="B79" s="270"/>
      <c r="C79" s="255"/>
      <c r="D79" s="269"/>
      <c r="E79" s="109"/>
      <c r="F79" s="110"/>
      <c r="G79" s="111"/>
      <c r="H79" s="109"/>
      <c r="I79" s="110"/>
      <c r="J79" s="111"/>
      <c r="K79" s="109"/>
      <c r="L79" s="110"/>
      <c r="M79" s="111"/>
      <c r="N79" s="109"/>
      <c r="O79" s="110"/>
      <c r="P79" s="111"/>
      <c r="Q79" s="109"/>
      <c r="R79" s="110"/>
      <c r="S79" s="111"/>
      <c r="T79" s="109"/>
      <c r="U79" s="110"/>
      <c r="V79" s="111"/>
      <c r="W79" s="109"/>
      <c r="X79" s="110"/>
      <c r="Y79" s="111"/>
      <c r="Z79" s="109"/>
      <c r="AA79" s="110"/>
      <c r="AB79" s="111"/>
      <c r="AC79" s="109"/>
      <c r="AD79" s="110"/>
      <c r="AE79" s="111"/>
      <c r="AF79" s="109"/>
      <c r="AG79" s="110"/>
      <c r="AH79" s="265">
        <f>+Janvier!AJ79</f>
        <v>2652.2802197802202</v>
      </c>
      <c r="AI79" s="231">
        <f>+Janvier!AK79</f>
        <v>8251.5384615384628</v>
      </c>
      <c r="AJ79" s="231">
        <f>+Janvier!AL79</f>
        <v>6188.6538461538466</v>
      </c>
      <c r="AK79" s="231">
        <f>+Janvier!AM79</f>
        <v>6188.6538461538466</v>
      </c>
      <c r="AL79" s="231">
        <f>+Janvier!AN79</f>
        <v>3750.6993006993016</v>
      </c>
      <c r="AM79" s="231">
        <f>+Janvier!AO79</f>
        <v>2320.7451923076924</v>
      </c>
      <c r="AN79" s="231">
        <f>+Janvier!AP79</f>
        <v>4641.4903846153848</v>
      </c>
      <c r="AO79" s="231">
        <f>+Janvier!AQ79</f>
        <v>2320.7451923076924</v>
      </c>
      <c r="AP79" s="231">
        <f>+Janvier!AR79</f>
        <v>2320.7451923076924</v>
      </c>
      <c r="AQ79" s="231">
        <f>+Janvier!AS79</f>
        <v>4125.7692307692314</v>
      </c>
      <c r="AR79" s="32">
        <f t="shared" si="116"/>
        <v>0</v>
      </c>
      <c r="AS79" s="32">
        <f t="shared" si="117"/>
        <v>0</v>
      </c>
      <c r="AT79" s="32">
        <f t="shared" si="118"/>
        <v>0</v>
      </c>
      <c r="AU79" s="32">
        <f t="shared" si="119"/>
        <v>0</v>
      </c>
      <c r="AV79" s="32">
        <f t="shared" si="120"/>
        <v>0</v>
      </c>
      <c r="AW79" s="32">
        <f t="shared" si="121"/>
        <v>0</v>
      </c>
      <c r="AX79" s="32">
        <f t="shared" si="122"/>
        <v>0</v>
      </c>
      <c r="AY79" s="32">
        <f t="shared" si="123"/>
        <v>0</v>
      </c>
      <c r="AZ79" s="32">
        <f t="shared" si="124"/>
        <v>0</v>
      </c>
      <c r="BA79" s="33">
        <f t="shared" si="125"/>
        <v>0</v>
      </c>
    </row>
    <row r="80" spans="1:53" ht="15.6" x14ac:dyDescent="0.3">
      <c r="A80" s="202" t="s">
        <v>90</v>
      </c>
      <c r="B80" s="256"/>
      <c r="C80" s="160"/>
      <c r="D80" s="113"/>
      <c r="E80" s="114"/>
      <c r="F80" s="115"/>
      <c r="G80" s="113"/>
      <c r="H80" s="114"/>
      <c r="I80" s="115"/>
      <c r="J80" s="113"/>
      <c r="K80" s="114"/>
      <c r="L80" s="115"/>
      <c r="M80" s="113"/>
      <c r="N80" s="114"/>
      <c r="O80" s="115"/>
      <c r="P80" s="113"/>
      <c r="Q80" s="114"/>
      <c r="R80" s="115"/>
      <c r="S80" s="113"/>
      <c r="T80" s="114"/>
      <c r="U80" s="115"/>
      <c r="V80" s="113"/>
      <c r="W80" s="114"/>
      <c r="X80" s="115"/>
      <c r="Y80" s="113"/>
      <c r="Z80" s="114"/>
      <c r="AA80" s="115"/>
      <c r="AB80" s="113"/>
      <c r="AC80" s="114"/>
      <c r="AD80" s="115"/>
      <c r="AE80" s="113"/>
      <c r="AF80" s="114"/>
      <c r="AG80" s="115"/>
      <c r="AH80" s="231">
        <f>+Janvier!AJ80</f>
        <v>17212.634999999998</v>
      </c>
      <c r="AI80" s="231">
        <f>+Janvier!AK80</f>
        <v>59198.798076923078</v>
      </c>
      <c r="AJ80" s="231">
        <f>+Janvier!AL80</f>
        <v>39426.39951923077</v>
      </c>
      <c r="AK80" s="231">
        <f>+Janvier!AM80</f>
        <v>39426.39951923077</v>
      </c>
      <c r="AL80" s="231">
        <f>+Janvier!AN80</f>
        <v>24863.495192307691</v>
      </c>
      <c r="AM80" s="231">
        <f>+Janvier!AO80</f>
        <v>14799.69951923077</v>
      </c>
      <c r="AN80" s="231">
        <f>+Janvier!AP80</f>
        <v>29599.399038461539</v>
      </c>
      <c r="AO80" s="231">
        <f>+Janvier!AQ80</f>
        <v>14799.69951923077</v>
      </c>
      <c r="AP80" s="231">
        <f>+Janvier!AR80</f>
        <v>14799.69951923077</v>
      </c>
      <c r="AQ80" s="231">
        <f>+Janvier!AS80</f>
        <v>26721.713076923079</v>
      </c>
      <c r="AR80" s="16">
        <f>ROUND(E80/(AH80/15),0)</f>
        <v>0</v>
      </c>
      <c r="AS80" s="16">
        <f t="shared" ref="AS80" si="126">ROUND(H80/(AI80/15),0)</f>
        <v>0</v>
      </c>
      <c r="AT80" s="16">
        <f t="shared" ref="AT80" si="127">ROUND(K80/(AJ80/15),0)</f>
        <v>0</v>
      </c>
      <c r="AU80" s="16">
        <f t="shared" ref="AU80" si="128">ROUND(N80/(AK80/15),0)</f>
        <v>0</v>
      </c>
      <c r="AV80" s="16">
        <f t="shared" ref="AV80" si="129">ROUND(Q80/(AL80/15),0)</f>
        <v>0</v>
      </c>
      <c r="AW80" s="16">
        <f t="shared" ref="AW80" si="130">ROUND(T80/(AM80/15),0)</f>
        <v>0</v>
      </c>
      <c r="AX80" s="16">
        <f t="shared" ref="AX80" si="131">ROUND(W80/(AN80/15),0)</f>
        <v>0</v>
      </c>
      <c r="AY80" s="16">
        <f t="shared" ref="AY80" si="132">ROUND(Z80/(AO80/15),0)</f>
        <v>0</v>
      </c>
      <c r="AZ80" s="16">
        <f t="shared" ref="AZ80" si="133">ROUND(AC80/(AP80/15),0)</f>
        <v>0</v>
      </c>
      <c r="BA80" s="17">
        <f t="shared" ref="BA80" si="134">ROUND(AF80/(AQ80/15),0)</f>
        <v>0</v>
      </c>
    </row>
    <row r="81" spans="1:53" ht="15.6" x14ac:dyDescent="0.3">
      <c r="A81" s="199" t="s">
        <v>74</v>
      </c>
      <c r="B81" s="257"/>
      <c r="C81" s="94"/>
      <c r="D81" s="116"/>
      <c r="E81" s="106"/>
      <c r="F81" s="117"/>
      <c r="G81" s="116"/>
      <c r="H81" s="106"/>
      <c r="I81" s="117"/>
      <c r="J81" s="116"/>
      <c r="K81" s="106"/>
      <c r="L81" s="117"/>
      <c r="M81" s="116"/>
      <c r="N81" s="106"/>
      <c r="O81" s="117"/>
      <c r="P81" s="116"/>
      <c r="Q81" s="106"/>
      <c r="R81" s="117"/>
      <c r="S81" s="116"/>
      <c r="T81" s="106"/>
      <c r="U81" s="117"/>
      <c r="V81" s="116"/>
      <c r="W81" s="106"/>
      <c r="X81" s="117"/>
      <c r="Y81" s="116"/>
      <c r="Z81" s="106"/>
      <c r="AA81" s="117"/>
      <c r="AB81" s="116"/>
      <c r="AC81" s="106"/>
      <c r="AD81" s="117"/>
      <c r="AE81" s="116"/>
      <c r="AF81" s="106"/>
      <c r="AG81" s="117"/>
      <c r="AH81" s="231">
        <f>+Janvier!AJ81</f>
        <v>1153.1868131868132</v>
      </c>
      <c r="AI81" s="231">
        <f>+Janvier!AK81</f>
        <v>3587.6923076923085</v>
      </c>
      <c r="AJ81" s="231">
        <f>+Janvier!AL81</f>
        <v>2690.7692307692309</v>
      </c>
      <c r="AK81" s="231">
        <f>+Janvier!AM81</f>
        <v>2690.7692307692309</v>
      </c>
      <c r="AL81" s="231">
        <f>+Janvier!AN81</f>
        <v>1630.7692307692312</v>
      </c>
      <c r="AM81" s="231">
        <f>+Janvier!AO81</f>
        <v>1009.0384615384617</v>
      </c>
      <c r="AN81" s="231">
        <f>+Janvier!AP81</f>
        <v>2018.0769230769233</v>
      </c>
      <c r="AO81" s="231">
        <f>+Janvier!AQ81</f>
        <v>1009.0384615384617</v>
      </c>
      <c r="AP81" s="231">
        <f>+Janvier!AR81</f>
        <v>1009.0384615384617</v>
      </c>
      <c r="AQ81" s="231">
        <f>+Janvier!AS81</f>
        <v>1793.8461538461543</v>
      </c>
      <c r="AR81" s="16">
        <f>ROUND(E81/(AH81/5),0)</f>
        <v>0</v>
      </c>
      <c r="AS81" s="16">
        <f t="shared" ref="AS81:AS85" si="135">ROUND(H81/(AI81/5),0)</f>
        <v>0</v>
      </c>
      <c r="AT81" s="16">
        <f t="shared" ref="AT81:AT85" si="136">ROUND(K81/(AJ81/5),0)</f>
        <v>0</v>
      </c>
      <c r="AU81" s="16">
        <f t="shared" ref="AU81:AU85" si="137">ROUND(N81/(AK81/5),0)</f>
        <v>0</v>
      </c>
      <c r="AV81" s="16">
        <f t="shared" ref="AV81:AV85" si="138">ROUND(Q81/(AL81/5),0)</f>
        <v>0</v>
      </c>
      <c r="AW81" s="16">
        <f t="shared" ref="AW81:AW85" si="139">ROUND(T81/(AM81/5),0)</f>
        <v>0</v>
      </c>
      <c r="AX81" s="16">
        <f t="shared" ref="AX81:AX85" si="140">ROUND(W81/(AN81/5),0)</f>
        <v>0</v>
      </c>
      <c r="AY81" s="16">
        <f t="shared" ref="AY81:AY85" si="141">ROUND(Z81/(AO81/5),0)</f>
        <v>0</v>
      </c>
      <c r="AZ81" s="16">
        <f t="shared" ref="AZ81:AZ85" si="142">ROUND(AC81/(AP81/5),0)</f>
        <v>0</v>
      </c>
      <c r="BA81" s="17">
        <f t="shared" ref="BA81:BA85" si="143">ROUND(AF81/(AQ81/5),0)</f>
        <v>0</v>
      </c>
    </row>
    <row r="82" spans="1:53" ht="15.6" x14ac:dyDescent="0.3">
      <c r="A82" s="199" t="s">
        <v>75</v>
      </c>
      <c r="B82" s="257"/>
      <c r="C82" s="94"/>
      <c r="D82" s="95"/>
      <c r="E82" s="96"/>
      <c r="F82" s="97"/>
      <c r="G82" s="95"/>
      <c r="H82" s="96"/>
      <c r="I82" s="97"/>
      <c r="J82" s="95"/>
      <c r="K82" s="96"/>
      <c r="L82" s="97"/>
      <c r="M82" s="95"/>
      <c r="N82" s="96"/>
      <c r="O82" s="97"/>
      <c r="P82" s="95"/>
      <c r="Q82" s="96"/>
      <c r="R82" s="97"/>
      <c r="S82" s="95"/>
      <c r="T82" s="96"/>
      <c r="U82" s="97"/>
      <c r="V82" s="95"/>
      <c r="W82" s="96"/>
      <c r="X82" s="97"/>
      <c r="Y82" s="95"/>
      <c r="Z82" s="96"/>
      <c r="AA82" s="97"/>
      <c r="AB82" s="95"/>
      <c r="AC82" s="96"/>
      <c r="AD82" s="97"/>
      <c r="AE82" s="95"/>
      <c r="AF82" s="96"/>
      <c r="AG82" s="97"/>
      <c r="AH82" s="231">
        <f>+Janvier!AJ82</f>
        <v>1355.5631868131868</v>
      </c>
      <c r="AI82" s="231">
        <f>+Janvier!AK82</f>
        <v>4217.3076923076924</v>
      </c>
      <c r="AJ82" s="231">
        <f>+Janvier!AL82</f>
        <v>3162.9807692307691</v>
      </c>
      <c r="AK82" s="231">
        <f>+Janvier!AM82</f>
        <v>3162.9807692307691</v>
      </c>
      <c r="AL82" s="231">
        <f>+Janvier!AN82</f>
        <v>1916.9580419580418</v>
      </c>
      <c r="AM82" s="231">
        <f>+Janvier!AO82</f>
        <v>1186.1177884615383</v>
      </c>
      <c r="AN82" s="231">
        <f>+Janvier!AP82</f>
        <v>2372.2355769230767</v>
      </c>
      <c r="AO82" s="231">
        <f>+Janvier!AQ82</f>
        <v>1186.1177884615383</v>
      </c>
      <c r="AP82" s="231">
        <f>+Janvier!AR82</f>
        <v>1186.1177884615383</v>
      </c>
      <c r="AQ82" s="231">
        <f>+Janvier!AS82</f>
        <v>2108.6538461538462</v>
      </c>
      <c r="AR82" s="16">
        <f>ROUND(E82/(AH82/5),0)</f>
        <v>0</v>
      </c>
      <c r="AS82" s="16">
        <f t="shared" si="135"/>
        <v>0</v>
      </c>
      <c r="AT82" s="16">
        <f t="shared" si="136"/>
        <v>0</v>
      </c>
      <c r="AU82" s="16">
        <f t="shared" si="137"/>
        <v>0</v>
      </c>
      <c r="AV82" s="16">
        <f t="shared" si="138"/>
        <v>0</v>
      </c>
      <c r="AW82" s="16">
        <f t="shared" si="139"/>
        <v>0</v>
      </c>
      <c r="AX82" s="16">
        <f t="shared" si="140"/>
        <v>0</v>
      </c>
      <c r="AY82" s="16">
        <f t="shared" si="141"/>
        <v>0</v>
      </c>
      <c r="AZ82" s="16">
        <f t="shared" si="142"/>
        <v>0</v>
      </c>
      <c r="BA82" s="17">
        <f t="shared" si="143"/>
        <v>0</v>
      </c>
    </row>
    <row r="83" spans="1:53" ht="15.6" x14ac:dyDescent="0.3">
      <c r="A83" s="199" t="s">
        <v>76</v>
      </c>
      <c r="B83" s="257"/>
      <c r="C83" s="94"/>
      <c r="D83" s="95"/>
      <c r="E83" s="96"/>
      <c r="F83" s="97"/>
      <c r="G83" s="95"/>
      <c r="H83" s="96"/>
      <c r="I83" s="97"/>
      <c r="J83" s="95"/>
      <c r="K83" s="96"/>
      <c r="L83" s="97"/>
      <c r="M83" s="95"/>
      <c r="N83" s="96"/>
      <c r="O83" s="97"/>
      <c r="P83" s="95"/>
      <c r="Q83" s="96"/>
      <c r="R83" s="97"/>
      <c r="S83" s="95"/>
      <c r="T83" s="96"/>
      <c r="U83" s="97"/>
      <c r="V83" s="95"/>
      <c r="W83" s="96"/>
      <c r="X83" s="97"/>
      <c r="Y83" s="95"/>
      <c r="Z83" s="96"/>
      <c r="AA83" s="97"/>
      <c r="AB83" s="95"/>
      <c r="AC83" s="96"/>
      <c r="AD83" s="97"/>
      <c r="AE83" s="95"/>
      <c r="AF83" s="96"/>
      <c r="AG83" s="97"/>
      <c r="AH83" s="231">
        <f>+Janvier!AJ83</f>
        <v>895.92032967032981</v>
      </c>
      <c r="AI83" s="231">
        <f>+Janvier!AK83</f>
        <v>2787.3076923076928</v>
      </c>
      <c r="AJ83" s="231">
        <f>+Janvier!AL83</f>
        <v>2090.4807692307695</v>
      </c>
      <c r="AK83" s="231">
        <f>+Janvier!AM83</f>
        <v>2090.4807692307695</v>
      </c>
      <c r="AL83" s="231">
        <f>+Janvier!AN83</f>
        <v>1266.958041958042</v>
      </c>
      <c r="AM83" s="231">
        <f>+Janvier!AO83</f>
        <v>783.93028846153834</v>
      </c>
      <c r="AN83" s="231">
        <f>+Janvier!AP83</f>
        <v>1567.8605769230767</v>
      </c>
      <c r="AO83" s="231">
        <f>+Janvier!AQ83</f>
        <v>783.93028846153834</v>
      </c>
      <c r="AP83" s="231">
        <f>+Janvier!AR83</f>
        <v>783.93028846153834</v>
      </c>
      <c r="AQ83" s="231">
        <f>+Janvier!AS83</f>
        <v>1393.6538461538464</v>
      </c>
      <c r="AR83" s="16">
        <f>ROUND(E83/(AH83/5),0)</f>
        <v>0</v>
      </c>
      <c r="AS83" s="16">
        <f t="shared" si="135"/>
        <v>0</v>
      </c>
      <c r="AT83" s="16">
        <f t="shared" si="136"/>
        <v>0</v>
      </c>
      <c r="AU83" s="16">
        <f t="shared" si="137"/>
        <v>0</v>
      </c>
      <c r="AV83" s="16">
        <f t="shared" si="138"/>
        <v>0</v>
      </c>
      <c r="AW83" s="16">
        <f t="shared" si="139"/>
        <v>0</v>
      </c>
      <c r="AX83" s="16">
        <f t="shared" si="140"/>
        <v>0</v>
      </c>
      <c r="AY83" s="16">
        <f t="shared" si="141"/>
        <v>0</v>
      </c>
      <c r="AZ83" s="16">
        <f t="shared" si="142"/>
        <v>0</v>
      </c>
      <c r="BA83" s="17">
        <f t="shared" si="143"/>
        <v>0</v>
      </c>
    </row>
    <row r="84" spans="1:53" ht="15.6" x14ac:dyDescent="0.3">
      <c r="A84" s="199" t="s">
        <v>77</v>
      </c>
      <c r="B84" s="257"/>
      <c r="C84" s="94"/>
      <c r="D84" s="95"/>
      <c r="E84" s="96"/>
      <c r="F84" s="97"/>
      <c r="G84" s="95"/>
      <c r="H84" s="96"/>
      <c r="I84" s="97"/>
      <c r="J84" s="95"/>
      <c r="K84" s="96"/>
      <c r="L84" s="97"/>
      <c r="M84" s="95"/>
      <c r="N84" s="96"/>
      <c r="O84" s="97"/>
      <c r="P84" s="95"/>
      <c r="Q84" s="96"/>
      <c r="R84" s="97"/>
      <c r="S84" s="95"/>
      <c r="T84" s="96"/>
      <c r="U84" s="97"/>
      <c r="V84" s="95"/>
      <c r="W84" s="96"/>
      <c r="X84" s="97"/>
      <c r="Y84" s="95"/>
      <c r="Z84" s="96"/>
      <c r="AA84" s="97"/>
      <c r="AB84" s="95"/>
      <c r="AC84" s="96"/>
      <c r="AD84" s="97"/>
      <c r="AE84" s="95"/>
      <c r="AF84" s="96"/>
      <c r="AG84" s="97"/>
      <c r="AH84" s="231">
        <f>+Janvier!AJ84</f>
        <v>1507.1291208791208</v>
      </c>
      <c r="AI84" s="231">
        <f>+Janvier!AK84</f>
        <v>4688.8461538461534</v>
      </c>
      <c r="AJ84" s="231">
        <f>+Janvier!AL84</f>
        <v>3516.6346153846152</v>
      </c>
      <c r="AK84" s="231">
        <f>+Janvier!AM84</f>
        <v>3516.6346153846152</v>
      </c>
      <c r="AL84" s="231">
        <f>+Janvier!AN84</f>
        <v>2131.2937062937062</v>
      </c>
      <c r="AM84" s="231">
        <f>+Janvier!AO84</f>
        <v>1318.7379807692307</v>
      </c>
      <c r="AN84" s="231">
        <f>+Janvier!AP84</f>
        <v>2637.4759615384614</v>
      </c>
      <c r="AO84" s="231">
        <f>+Janvier!AQ84</f>
        <v>1318.7379807692307</v>
      </c>
      <c r="AP84" s="231">
        <f>+Janvier!AR84</f>
        <v>1318.7379807692307</v>
      </c>
      <c r="AQ84" s="231">
        <f>+Janvier!AS84</f>
        <v>2344.4230769230767</v>
      </c>
      <c r="AR84" s="16">
        <f>ROUND(E84/(AH84/5),0)</f>
        <v>0</v>
      </c>
      <c r="AS84" s="16">
        <f t="shared" si="135"/>
        <v>0</v>
      </c>
      <c r="AT84" s="16">
        <f t="shared" si="136"/>
        <v>0</v>
      </c>
      <c r="AU84" s="16">
        <f t="shared" si="137"/>
        <v>0</v>
      </c>
      <c r="AV84" s="16">
        <f t="shared" si="138"/>
        <v>0</v>
      </c>
      <c r="AW84" s="16">
        <f t="shared" si="139"/>
        <v>0</v>
      </c>
      <c r="AX84" s="16">
        <f t="shared" si="140"/>
        <v>0</v>
      </c>
      <c r="AY84" s="16">
        <f t="shared" si="141"/>
        <v>0</v>
      </c>
      <c r="AZ84" s="16">
        <f t="shared" si="142"/>
        <v>0</v>
      </c>
      <c r="BA84" s="17">
        <f t="shared" si="143"/>
        <v>0</v>
      </c>
    </row>
    <row r="85" spans="1:53" ht="15" thickBot="1" x14ac:dyDescent="0.35">
      <c r="A85" s="121" t="s">
        <v>78</v>
      </c>
      <c r="B85" s="258"/>
      <c r="C85" s="143"/>
      <c r="D85" s="111"/>
      <c r="E85" s="109"/>
      <c r="F85" s="110"/>
      <c r="G85" s="111"/>
      <c r="H85" s="109"/>
      <c r="I85" s="110"/>
      <c r="J85" s="111"/>
      <c r="K85" s="109"/>
      <c r="L85" s="110"/>
      <c r="M85" s="111"/>
      <c r="N85" s="109"/>
      <c r="O85" s="110"/>
      <c r="P85" s="111"/>
      <c r="Q85" s="109"/>
      <c r="R85" s="110"/>
      <c r="S85" s="111"/>
      <c r="T85" s="109"/>
      <c r="U85" s="110"/>
      <c r="V85" s="111"/>
      <c r="W85" s="109"/>
      <c r="X85" s="110"/>
      <c r="Y85" s="111"/>
      <c r="Z85" s="109"/>
      <c r="AA85" s="110"/>
      <c r="AB85" s="111"/>
      <c r="AC85" s="109"/>
      <c r="AD85" s="110"/>
      <c r="AE85" s="111"/>
      <c r="AF85" s="109"/>
      <c r="AG85" s="110"/>
      <c r="AH85" s="231">
        <f>+Janvier!AJ85</f>
        <v>726.18131868131866</v>
      </c>
      <c r="AI85" s="231">
        <f>+Janvier!AK85</f>
        <v>2259.2307692307695</v>
      </c>
      <c r="AJ85" s="231">
        <f>+Janvier!AL85</f>
        <v>1694.4230769230774</v>
      </c>
      <c r="AK85" s="231">
        <f>+Janvier!AM85</f>
        <v>1694.4230769230774</v>
      </c>
      <c r="AL85" s="231">
        <f>+Janvier!AN85</f>
        <v>1026.9230769230771</v>
      </c>
      <c r="AM85" s="231">
        <f>+Janvier!AO85</f>
        <v>635.40865384615381</v>
      </c>
      <c r="AN85" s="231">
        <f>+Janvier!AP85</f>
        <v>1270.8173076923076</v>
      </c>
      <c r="AO85" s="231">
        <f>+Janvier!AQ85</f>
        <v>635.40865384615381</v>
      </c>
      <c r="AP85" s="231">
        <f>+Janvier!AR85</f>
        <v>635.40865384615381</v>
      </c>
      <c r="AQ85" s="231">
        <f>+Janvier!AS85</f>
        <v>1129.6153846153848</v>
      </c>
      <c r="AR85" s="16">
        <f>ROUND(E85/(AH85/5),0)</f>
        <v>0</v>
      </c>
      <c r="AS85" s="16">
        <f t="shared" si="135"/>
        <v>0</v>
      </c>
      <c r="AT85" s="16">
        <f t="shared" si="136"/>
        <v>0</v>
      </c>
      <c r="AU85" s="16">
        <f t="shared" si="137"/>
        <v>0</v>
      </c>
      <c r="AV85" s="16">
        <f t="shared" si="138"/>
        <v>0</v>
      </c>
      <c r="AW85" s="16">
        <f t="shared" si="139"/>
        <v>0</v>
      </c>
      <c r="AX85" s="16">
        <f t="shared" si="140"/>
        <v>0</v>
      </c>
      <c r="AY85" s="16">
        <f t="shared" si="141"/>
        <v>0</v>
      </c>
      <c r="AZ85" s="16">
        <f t="shared" si="142"/>
        <v>0</v>
      </c>
      <c r="BA85" s="17">
        <f t="shared" si="143"/>
        <v>0</v>
      </c>
    </row>
    <row r="86" spans="1:53" x14ac:dyDescent="0.3">
      <c r="B86" s="192"/>
      <c r="C86" s="3"/>
      <c r="D86" s="3"/>
      <c r="E86" s="192"/>
      <c r="F86" s="192"/>
      <c r="G86" s="192"/>
      <c r="H86" s="192"/>
      <c r="I86" s="192"/>
      <c r="J86" s="192"/>
      <c r="K86" s="192"/>
      <c r="L86" s="192"/>
      <c r="M86" s="192"/>
      <c r="N86" s="192"/>
      <c r="O86" s="192"/>
      <c r="P86" s="192"/>
      <c r="Q86" s="192"/>
      <c r="R86" s="192"/>
      <c r="S86" s="192"/>
      <c r="T86" s="192"/>
      <c r="U86" s="192"/>
      <c r="V86" s="192"/>
      <c r="W86" s="192"/>
      <c r="X86" s="192"/>
      <c r="Y86" s="192"/>
      <c r="Z86" s="192"/>
      <c r="AA86" s="192"/>
      <c r="AB86" s="192"/>
      <c r="AC86" s="192"/>
      <c r="AD86" s="192"/>
      <c r="AE86" s="192"/>
      <c r="AF86" s="192"/>
      <c r="AG86" s="192"/>
      <c r="AR86" s="183" t="s">
        <v>2</v>
      </c>
      <c r="AS86" s="183" t="s">
        <v>80</v>
      </c>
      <c r="AT86" s="183" t="s">
        <v>81</v>
      </c>
      <c r="AU86" s="183" t="s">
        <v>5</v>
      </c>
      <c r="AV86" s="183" t="s">
        <v>82</v>
      </c>
      <c r="AW86" s="183" t="s">
        <v>7</v>
      </c>
      <c r="AX86" s="183" t="s">
        <v>8</v>
      </c>
      <c r="AY86" s="183" t="s">
        <v>9</v>
      </c>
      <c r="AZ86" s="183" t="s">
        <v>10</v>
      </c>
      <c r="BA86" s="183" t="s">
        <v>11</v>
      </c>
    </row>
    <row r="87" spans="1:53" x14ac:dyDescent="0.3">
      <c r="B87" s="192"/>
      <c r="C87" s="3"/>
      <c r="D87" s="3"/>
      <c r="E87" s="192"/>
      <c r="F87" s="192"/>
      <c r="G87" s="192"/>
      <c r="H87" s="192"/>
      <c r="I87" s="192"/>
      <c r="J87" s="192"/>
      <c r="K87" s="192"/>
      <c r="L87" s="192"/>
      <c r="M87" s="192"/>
      <c r="N87" s="192"/>
      <c r="O87" s="192"/>
      <c r="P87" s="192"/>
      <c r="Q87" s="192"/>
      <c r="R87" s="192"/>
      <c r="S87" s="192"/>
      <c r="T87" s="192"/>
      <c r="U87" s="192"/>
      <c r="V87" s="192"/>
      <c r="W87" s="192"/>
      <c r="X87" s="192"/>
      <c r="Y87" s="192"/>
      <c r="Z87" s="192"/>
      <c r="AA87" s="192"/>
      <c r="AB87" s="192"/>
      <c r="AC87" s="192"/>
      <c r="AD87" s="192"/>
      <c r="AE87" s="192"/>
      <c r="AF87" s="192"/>
      <c r="AG87" s="192"/>
    </row>
  </sheetData>
  <mergeCells count="16">
    <mergeCell ref="D3:AF3"/>
    <mergeCell ref="AE4:AG4"/>
    <mergeCell ref="A1:AF1"/>
    <mergeCell ref="AH3:AQ3"/>
    <mergeCell ref="AR3:BA3"/>
    <mergeCell ref="A4:A5"/>
    <mergeCell ref="B4:C4"/>
    <mergeCell ref="D4:F4"/>
    <mergeCell ref="G4:I4"/>
    <mergeCell ref="J4:L4"/>
    <mergeCell ref="M4:O4"/>
    <mergeCell ref="P4:R4"/>
    <mergeCell ref="S4:U4"/>
    <mergeCell ref="V4:X4"/>
    <mergeCell ref="Y4:AA4"/>
    <mergeCell ref="AB4:AD4"/>
  </mergeCells>
  <conditionalFormatting sqref="AR6:BA6 AR14:BA14 AR21:BA21 AR30:BA30 AR40:BA40 AR54:BA54 AR68:BA68 AR80:BA80">
    <cfRule type="cellIs" dxfId="39" priority="5" operator="lessThanOrEqual">
      <formula>3</formula>
    </cfRule>
    <cfRule type="cellIs" dxfId="38" priority="6" operator="between">
      <formula>3.01</formula>
      <formula>5</formula>
    </cfRule>
    <cfRule type="cellIs" dxfId="37" priority="7" operator="between">
      <formula>5.01</formula>
      <formula>15</formula>
    </cfRule>
    <cfRule type="cellIs" dxfId="36" priority="8" operator="greaterThan">
      <formula>15</formula>
    </cfRule>
  </conditionalFormatting>
  <conditionalFormatting sqref="AR7:BA13 AR15:BA20 AR22:BA29 AR31:BA39 AR41:BA53 AR55:BA67 AR69:BA79 AR81:BA85">
    <cfRule type="cellIs" dxfId="35" priority="1" operator="lessThanOrEqual">
      <formula>1</formula>
    </cfRule>
    <cfRule type="cellIs" dxfId="34" priority="2" operator="between">
      <formula>1.01</formula>
      <formula>2</formula>
    </cfRule>
    <cfRule type="cellIs" dxfId="33" priority="3" operator="between">
      <formula>2.01</formula>
      <formula>5</formula>
    </cfRule>
    <cfRule type="cellIs" dxfId="32" priority="4" operator="greaterThan">
      <formula>5</formula>
    </cfRule>
  </conditionalFormatting>
  <dataValidations count="1">
    <dataValidation type="decimal" allowBlank="1" showInputMessage="1" showErrorMessage="1" promptTitle="Coverage:" prompt="Indicate the targeted immunization coverage for the current year." sqref="AH5:AQ5" xr:uid="{00000000-0002-0000-0A00-000000000000}">
      <formula1>0</formula1>
      <formula2>1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A87"/>
  <sheetViews>
    <sheetView zoomScale="92" zoomScaleNormal="92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I13" sqref="I13"/>
    </sheetView>
  </sheetViews>
  <sheetFormatPr defaultColWidth="11.5546875" defaultRowHeight="14.4" x14ac:dyDescent="0.3"/>
  <cols>
    <col min="1" max="1" width="19.5546875" style="183" bestFit="1" customWidth="1"/>
    <col min="2" max="2" width="13.5546875" style="183" customWidth="1"/>
    <col min="3" max="3" width="16.5546875" style="183" customWidth="1"/>
    <col min="4" max="4" width="11.109375" style="183" customWidth="1"/>
    <col min="5" max="5" width="12.33203125" style="183" customWidth="1"/>
    <col min="6" max="7" width="12.5546875" style="183" customWidth="1"/>
    <col min="8" max="8" width="14.109375" style="183" customWidth="1"/>
    <col min="9" max="9" width="12.5546875" style="183" customWidth="1"/>
    <col min="10" max="10" width="13.88671875" style="183" customWidth="1"/>
    <col min="11" max="11" width="16" style="183" customWidth="1"/>
    <col min="12" max="12" width="9.88671875" style="183" customWidth="1"/>
    <col min="13" max="13" width="11.6640625" style="183" customWidth="1"/>
    <col min="14" max="14" width="8.44140625" style="183" customWidth="1"/>
    <col min="15" max="15" width="11.88671875" style="183" customWidth="1"/>
    <col min="16" max="16" width="10.33203125" style="183" customWidth="1"/>
    <col min="17" max="17" width="8.44140625" style="183" customWidth="1"/>
    <col min="18" max="18" width="13.44140625" style="183" customWidth="1"/>
    <col min="19" max="19" width="10.44140625" style="183" customWidth="1"/>
    <col min="20" max="20" width="7.44140625" style="183" customWidth="1"/>
    <col min="21" max="21" width="13.44140625" style="183" customWidth="1"/>
    <col min="22" max="22" width="9.5546875" style="183" customWidth="1"/>
    <col min="23" max="23" width="8.44140625" style="183" customWidth="1"/>
    <col min="24" max="24" width="12.6640625" style="183" customWidth="1"/>
    <col min="25" max="25" width="9.5546875" style="183" customWidth="1"/>
    <col min="26" max="26" width="9.44140625" style="183" customWidth="1"/>
    <col min="27" max="27" width="10" style="183" customWidth="1"/>
    <col min="28" max="28" width="9.6640625" style="183" customWidth="1"/>
    <col min="29" max="29" width="10.6640625" style="183" customWidth="1"/>
    <col min="30" max="30" width="12.33203125" style="183" customWidth="1"/>
    <col min="31" max="31" width="10" style="183" customWidth="1"/>
    <col min="32" max="32" width="10.33203125" style="183" customWidth="1"/>
    <col min="33" max="33" width="14" style="183" customWidth="1"/>
    <col min="34" max="43" width="11.6640625" style="183" customWidth="1"/>
    <col min="44" max="53" width="15.109375" style="183" customWidth="1"/>
    <col min="54" max="16384" width="11.5546875" style="183"/>
  </cols>
  <sheetData>
    <row r="1" spans="1:53" ht="18" x14ac:dyDescent="0.35">
      <c r="A1" s="414" t="s">
        <v>0</v>
      </c>
      <c r="B1" s="414"/>
      <c r="C1" s="414"/>
      <c r="D1" s="414"/>
      <c r="E1" s="414"/>
      <c r="F1" s="414"/>
      <c r="G1" s="414"/>
      <c r="H1" s="414"/>
      <c r="I1" s="414"/>
      <c r="J1" s="414"/>
      <c r="K1" s="414"/>
      <c r="L1" s="414"/>
      <c r="M1" s="414"/>
      <c r="N1" s="414"/>
      <c r="O1" s="414"/>
      <c r="P1" s="414"/>
      <c r="Q1" s="414"/>
      <c r="R1" s="414"/>
      <c r="S1" s="414"/>
      <c r="T1" s="414"/>
      <c r="U1" s="414"/>
      <c r="V1" s="414"/>
      <c r="W1" s="414"/>
      <c r="X1" s="414"/>
      <c r="Y1" s="414"/>
      <c r="Z1" s="414"/>
      <c r="AA1" s="414"/>
      <c r="AB1" s="414"/>
      <c r="AC1" s="414"/>
      <c r="AD1" s="414"/>
      <c r="AE1" s="414"/>
      <c r="AF1" s="414"/>
      <c r="AG1" s="195"/>
    </row>
    <row r="2" spans="1:53" ht="18" x14ac:dyDescent="0.35">
      <c r="A2" s="195"/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5"/>
      <c r="Y2" s="195"/>
      <c r="Z2" s="195"/>
      <c r="AA2" s="195"/>
      <c r="AB2" s="195"/>
      <c r="AC2" s="195"/>
      <c r="AD2" s="195"/>
      <c r="AE2" s="195"/>
      <c r="AF2" s="9"/>
      <c r="AG2" s="9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0"/>
    </row>
    <row r="3" spans="1:53" ht="16.2" thickBot="1" x14ac:dyDescent="0.35">
      <c r="D3" s="413" t="s">
        <v>98</v>
      </c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  <c r="R3" s="413"/>
      <c r="S3" s="413"/>
      <c r="T3" s="413"/>
      <c r="U3" s="413"/>
      <c r="V3" s="413"/>
      <c r="W3" s="413"/>
      <c r="X3" s="413"/>
      <c r="Y3" s="413"/>
      <c r="Z3" s="413"/>
      <c r="AA3" s="413"/>
      <c r="AB3" s="413"/>
      <c r="AC3" s="413"/>
      <c r="AD3" s="413"/>
      <c r="AE3" s="413"/>
      <c r="AF3" s="413"/>
      <c r="AG3" s="196"/>
      <c r="AH3" s="449" t="s">
        <v>12</v>
      </c>
      <c r="AI3" s="449"/>
      <c r="AJ3" s="449"/>
      <c r="AK3" s="449"/>
      <c r="AL3" s="449"/>
      <c r="AM3" s="449"/>
      <c r="AN3" s="449"/>
      <c r="AO3" s="449"/>
      <c r="AP3" s="449"/>
      <c r="AQ3" s="449"/>
      <c r="AR3" s="417" t="s">
        <v>13</v>
      </c>
      <c r="AS3" s="417"/>
      <c r="AT3" s="417"/>
      <c r="AU3" s="417"/>
      <c r="AV3" s="417"/>
      <c r="AW3" s="417"/>
      <c r="AX3" s="417"/>
      <c r="AY3" s="417"/>
      <c r="AZ3" s="417"/>
      <c r="BA3" s="417"/>
    </row>
    <row r="4" spans="1:53" ht="16.2" thickBot="1" x14ac:dyDescent="0.35">
      <c r="A4" s="450" t="s">
        <v>1</v>
      </c>
      <c r="B4" s="452" t="s">
        <v>92</v>
      </c>
      <c r="C4" s="453"/>
      <c r="D4" s="420" t="s">
        <v>2</v>
      </c>
      <c r="E4" s="420"/>
      <c r="F4" s="421"/>
      <c r="G4" s="422" t="s">
        <v>3</v>
      </c>
      <c r="H4" s="423"/>
      <c r="I4" s="424"/>
      <c r="J4" s="425" t="s">
        <v>4</v>
      </c>
      <c r="K4" s="426"/>
      <c r="L4" s="427"/>
      <c r="M4" s="446" t="s">
        <v>5</v>
      </c>
      <c r="N4" s="447"/>
      <c r="O4" s="448"/>
      <c r="P4" s="428" t="s">
        <v>6</v>
      </c>
      <c r="Q4" s="429"/>
      <c r="R4" s="430"/>
      <c r="S4" s="431" t="s">
        <v>7</v>
      </c>
      <c r="T4" s="432"/>
      <c r="U4" s="433"/>
      <c r="V4" s="434" t="s">
        <v>8</v>
      </c>
      <c r="W4" s="435"/>
      <c r="X4" s="436"/>
      <c r="Y4" s="437" t="s">
        <v>9</v>
      </c>
      <c r="Z4" s="438"/>
      <c r="AA4" s="439"/>
      <c r="AB4" s="440" t="s">
        <v>10</v>
      </c>
      <c r="AC4" s="441"/>
      <c r="AD4" s="442"/>
      <c r="AE4" s="443" t="s">
        <v>11</v>
      </c>
      <c r="AF4" s="444"/>
      <c r="AG4" s="444"/>
      <c r="AH4" s="206" t="s">
        <v>2</v>
      </c>
      <c r="AI4" s="206" t="s">
        <v>3</v>
      </c>
      <c r="AJ4" s="206" t="s">
        <v>4</v>
      </c>
      <c r="AK4" s="206" t="s">
        <v>5</v>
      </c>
      <c r="AL4" s="206" t="s">
        <v>6</v>
      </c>
      <c r="AM4" s="206" t="s">
        <v>7</v>
      </c>
      <c r="AN4" s="206" t="s">
        <v>8</v>
      </c>
      <c r="AO4" s="206" t="s">
        <v>9</v>
      </c>
      <c r="AP4" s="206" t="s">
        <v>10</v>
      </c>
      <c r="AQ4" s="206" t="s">
        <v>11</v>
      </c>
      <c r="AR4" s="186" t="s">
        <v>2</v>
      </c>
      <c r="AS4" s="186" t="s">
        <v>3</v>
      </c>
      <c r="AT4" s="186" t="s">
        <v>4</v>
      </c>
      <c r="AU4" s="186" t="s">
        <v>5</v>
      </c>
      <c r="AV4" s="186" t="s">
        <v>6</v>
      </c>
      <c r="AW4" s="186" t="s">
        <v>7</v>
      </c>
      <c r="AX4" s="186" t="s">
        <v>8</v>
      </c>
      <c r="AY4" s="186" t="s">
        <v>9</v>
      </c>
      <c r="AZ4" s="186" t="s">
        <v>10</v>
      </c>
      <c r="BA4" s="197" t="s">
        <v>11</v>
      </c>
    </row>
    <row r="5" spans="1:53" ht="15.75" customHeight="1" thickBot="1" x14ac:dyDescent="0.35">
      <c r="A5" s="451"/>
      <c r="B5" s="135" t="s">
        <v>93</v>
      </c>
      <c r="C5" s="136" t="s">
        <v>94</v>
      </c>
      <c r="D5" s="187" t="s">
        <v>95</v>
      </c>
      <c r="E5" s="188" t="s">
        <v>96</v>
      </c>
      <c r="F5" s="189" t="s">
        <v>97</v>
      </c>
      <c r="G5" s="190" t="s">
        <v>95</v>
      </c>
      <c r="H5" s="188" t="s">
        <v>96</v>
      </c>
      <c r="I5" s="191" t="s">
        <v>97</v>
      </c>
      <c r="J5" s="137" t="s">
        <v>95</v>
      </c>
      <c r="K5" s="138" t="s">
        <v>96</v>
      </c>
      <c r="L5" s="139" t="s">
        <v>97</v>
      </c>
      <c r="M5" s="187" t="s">
        <v>95</v>
      </c>
      <c r="N5" s="188" t="s">
        <v>96</v>
      </c>
      <c r="O5" s="189" t="s">
        <v>97</v>
      </c>
      <c r="P5" s="190" t="s">
        <v>95</v>
      </c>
      <c r="Q5" s="188" t="s">
        <v>96</v>
      </c>
      <c r="R5" s="189" t="s">
        <v>97</v>
      </c>
      <c r="S5" s="190" t="s">
        <v>95</v>
      </c>
      <c r="T5" s="188" t="s">
        <v>96</v>
      </c>
      <c r="U5" s="189" t="s">
        <v>97</v>
      </c>
      <c r="V5" s="190" t="s">
        <v>95</v>
      </c>
      <c r="W5" s="188" t="s">
        <v>96</v>
      </c>
      <c r="X5" s="189" t="s">
        <v>97</v>
      </c>
      <c r="Y5" s="190" t="s">
        <v>95</v>
      </c>
      <c r="Z5" s="188" t="s">
        <v>96</v>
      </c>
      <c r="AA5" s="189" t="s">
        <v>97</v>
      </c>
      <c r="AB5" s="190" t="s">
        <v>95</v>
      </c>
      <c r="AC5" s="188" t="s">
        <v>96</v>
      </c>
      <c r="AD5" s="189" t="s">
        <v>97</v>
      </c>
      <c r="AE5" s="190" t="s">
        <v>95</v>
      </c>
      <c r="AF5" s="188" t="s">
        <v>96</v>
      </c>
      <c r="AG5" s="191" t="s">
        <v>97</v>
      </c>
      <c r="AH5" s="229">
        <v>0.9</v>
      </c>
      <c r="AI5" s="229">
        <v>0.9</v>
      </c>
      <c r="AJ5" s="229">
        <v>0.9</v>
      </c>
      <c r="AK5" s="229">
        <v>0.9</v>
      </c>
      <c r="AL5" s="229">
        <v>0.9</v>
      </c>
      <c r="AM5" s="229">
        <v>0.9</v>
      </c>
      <c r="AN5" s="229">
        <v>0.9</v>
      </c>
      <c r="AO5" s="229">
        <v>0.9</v>
      </c>
      <c r="AP5" s="229">
        <v>0.9</v>
      </c>
      <c r="AQ5" s="230">
        <v>0.9</v>
      </c>
      <c r="AR5" s="12"/>
      <c r="AS5" s="12"/>
      <c r="AT5" s="12"/>
      <c r="AU5" s="12"/>
      <c r="AV5" s="12"/>
      <c r="AW5" s="12"/>
      <c r="AX5" s="12"/>
      <c r="AY5" s="12"/>
      <c r="AZ5" s="12"/>
      <c r="BA5" s="13"/>
    </row>
    <row r="6" spans="1:53" x14ac:dyDescent="0.3">
      <c r="A6" s="140" t="s">
        <v>87</v>
      </c>
      <c r="B6" s="141"/>
      <c r="C6" s="232"/>
      <c r="D6" s="142"/>
      <c r="E6" s="240"/>
      <c r="F6" s="241"/>
      <c r="G6" s="235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2"/>
      <c r="AF6" s="142"/>
      <c r="AG6" s="222"/>
      <c r="AH6" s="231">
        <f>+Janvier!AJ6</f>
        <v>8562.51</v>
      </c>
      <c r="AI6" s="231">
        <f>+Janvier!AK6</f>
        <v>29828.509615384621</v>
      </c>
      <c r="AJ6" s="231">
        <f>+Janvier!AL6</f>
        <v>19865.787403846156</v>
      </c>
      <c r="AK6" s="231">
        <f>+Janvier!AM6</f>
        <v>19865.787403846156</v>
      </c>
      <c r="AL6" s="231">
        <f>+Janvier!AN6</f>
        <v>12527.97403846154</v>
      </c>
      <c r="AM6" s="231">
        <f>+Janvier!AO6</f>
        <v>7457.1274038461552</v>
      </c>
      <c r="AN6" s="231">
        <f>+Janvier!AP6</f>
        <v>14914.25480769231</v>
      </c>
      <c r="AO6" s="231">
        <f>+Janvier!AQ6</f>
        <v>7457.1274038461552</v>
      </c>
      <c r="AP6" s="231">
        <f>+Janvier!AR6</f>
        <v>7457.1274038461552</v>
      </c>
      <c r="AQ6" s="231">
        <f>+Janvier!AS6</f>
        <v>13292.847692307696</v>
      </c>
      <c r="AR6" s="16">
        <f>ROUND(E6/(AH6/15),0)</f>
        <v>0</v>
      </c>
      <c r="AS6" s="16">
        <f>ROUND(H6/(AI6/15),0)</f>
        <v>0</v>
      </c>
      <c r="AT6" s="16">
        <f>ROUND(K6/(AJ6/15),0)</f>
        <v>0</v>
      </c>
      <c r="AU6" s="16">
        <f>ROUND(N6/(AK6/15),0)</f>
        <v>0</v>
      </c>
      <c r="AV6" s="16">
        <f>ROUND(Q6/(AL6/15),0)</f>
        <v>0</v>
      </c>
      <c r="AW6" s="16">
        <f>ROUND(T6/(AM6/15),0)</f>
        <v>0</v>
      </c>
      <c r="AX6" s="16">
        <f>ROUND(W6/(AN6/15),0)</f>
        <v>0</v>
      </c>
      <c r="AY6" s="16">
        <f>ROUND(Z6/(AO6/15),0)</f>
        <v>0</v>
      </c>
      <c r="AZ6" s="16">
        <f>ROUND(AC6/(AP6/15),0)</f>
        <v>0</v>
      </c>
      <c r="BA6" s="17">
        <f t="shared" ref="BA6" si="0">ROUND(AF6/(AQ6/15),0)</f>
        <v>0</v>
      </c>
    </row>
    <row r="7" spans="1:53" x14ac:dyDescent="0.3">
      <c r="A7" s="184" t="s">
        <v>100</v>
      </c>
      <c r="B7" s="94"/>
      <c r="C7" s="233"/>
      <c r="D7" s="107"/>
      <c r="E7" s="106"/>
      <c r="F7" s="117"/>
      <c r="G7" s="236"/>
      <c r="H7" s="96"/>
      <c r="I7" s="105"/>
      <c r="J7" s="95"/>
      <c r="K7" s="96"/>
      <c r="L7" s="97"/>
      <c r="M7" s="95"/>
      <c r="N7" s="96"/>
      <c r="O7" s="97"/>
      <c r="P7" s="95"/>
      <c r="Q7" s="96"/>
      <c r="R7" s="97"/>
      <c r="S7" s="95"/>
      <c r="T7" s="96"/>
      <c r="U7" s="97"/>
      <c r="V7" s="95"/>
      <c r="W7" s="96"/>
      <c r="X7" s="97"/>
      <c r="Y7" s="95"/>
      <c r="Z7" s="96"/>
      <c r="AA7" s="97"/>
      <c r="AB7" s="95"/>
      <c r="AC7" s="96"/>
      <c r="AD7" s="97"/>
      <c r="AE7" s="95"/>
      <c r="AF7" s="96"/>
      <c r="AG7" s="105"/>
      <c r="AH7" s="231">
        <f>+Janvier!AJ7</f>
        <v>205.71428571428572</v>
      </c>
      <c r="AI7" s="231">
        <f>+Janvier!AK7</f>
        <v>640.00000000000011</v>
      </c>
      <c r="AJ7" s="231">
        <f>+Janvier!AL7</f>
        <v>480</v>
      </c>
      <c r="AK7" s="231">
        <f>+Janvier!AM7</f>
        <v>480</v>
      </c>
      <c r="AL7" s="231">
        <f>+Janvier!AN7</f>
        <v>290.90909090909099</v>
      </c>
      <c r="AM7" s="231">
        <f>+Janvier!AO7</f>
        <v>180.00000000000003</v>
      </c>
      <c r="AN7" s="231">
        <f>+Janvier!AP7</f>
        <v>360.00000000000006</v>
      </c>
      <c r="AO7" s="231">
        <f>+Janvier!AQ7</f>
        <v>180.00000000000003</v>
      </c>
      <c r="AP7" s="231">
        <f>+Janvier!AR7</f>
        <v>180.00000000000003</v>
      </c>
      <c r="AQ7" s="231">
        <f>+Janvier!AS7</f>
        <v>320.00000000000006</v>
      </c>
      <c r="AR7" s="19">
        <f t="shared" ref="AR7:AR13" si="1">ROUND(E7/(AH7/5),0)</f>
        <v>0</v>
      </c>
      <c r="AS7" s="19">
        <f>ROUND(H7/(AI7/5),0)</f>
        <v>0</v>
      </c>
      <c r="AT7" s="19">
        <f>ROUND(K7/(AJ7/5),0)</f>
        <v>0</v>
      </c>
      <c r="AU7" s="19">
        <f>ROUND(N7/(AK7/5),0)</f>
        <v>0</v>
      </c>
      <c r="AV7" s="19">
        <f>ROUND(Q7/(AL7/5),0)</f>
        <v>0</v>
      </c>
      <c r="AW7" s="19">
        <f>ROUND(T7/(AM7/5),0)</f>
        <v>0</v>
      </c>
      <c r="AX7" s="19">
        <f>ROUND(W7/(AN7/5),0)</f>
        <v>0</v>
      </c>
      <c r="AY7" s="19">
        <f>ROUND(Z7/(AO7/5),0)</f>
        <v>0</v>
      </c>
      <c r="AZ7" s="19">
        <f>ROUND(AC7/(AP7/5),0)</f>
        <v>0</v>
      </c>
      <c r="BA7" s="20">
        <f t="shared" ref="BA7:BA13" si="2">ROUND(AF7/(AQ7/5),0)</f>
        <v>0</v>
      </c>
    </row>
    <row r="8" spans="1:53" x14ac:dyDescent="0.3">
      <c r="A8" s="184" t="s">
        <v>101</v>
      </c>
      <c r="B8" s="94"/>
      <c r="C8" s="233"/>
      <c r="D8" s="107"/>
      <c r="E8" s="96"/>
      <c r="F8" s="97"/>
      <c r="G8" s="237"/>
      <c r="H8" s="96"/>
      <c r="I8" s="105"/>
      <c r="J8" s="95"/>
      <c r="K8" s="96"/>
      <c r="L8" s="97"/>
      <c r="M8" s="95"/>
      <c r="N8" s="96"/>
      <c r="O8" s="97"/>
      <c r="P8" s="95"/>
      <c r="Q8" s="96"/>
      <c r="R8" s="97"/>
      <c r="S8" s="95"/>
      <c r="T8" s="96"/>
      <c r="U8" s="97"/>
      <c r="V8" s="95"/>
      <c r="W8" s="96"/>
      <c r="X8" s="97"/>
      <c r="Y8" s="95"/>
      <c r="Z8" s="96"/>
      <c r="AA8" s="97"/>
      <c r="AB8" s="95"/>
      <c r="AC8" s="96"/>
      <c r="AD8" s="97"/>
      <c r="AE8" s="95"/>
      <c r="AF8" s="96"/>
      <c r="AG8" s="105"/>
      <c r="AH8" s="231">
        <f>+Janvier!AJ8</f>
        <v>676.23626373626382</v>
      </c>
      <c r="AI8" s="231">
        <f>+Janvier!AK8</f>
        <v>2103.8461538461538</v>
      </c>
      <c r="AJ8" s="231">
        <f>+Janvier!AL8</f>
        <v>1577.8846153846155</v>
      </c>
      <c r="AK8" s="231">
        <f>+Janvier!AM8</f>
        <v>1577.8846153846155</v>
      </c>
      <c r="AL8" s="231">
        <f>+Janvier!AN8</f>
        <v>956.29370629370646</v>
      </c>
      <c r="AM8" s="231">
        <f>+Janvier!AO8</f>
        <v>591.70673076923083</v>
      </c>
      <c r="AN8" s="231">
        <f>+Janvier!AP8</f>
        <v>1183.4134615384617</v>
      </c>
      <c r="AO8" s="231">
        <f>+Janvier!AQ8</f>
        <v>591.70673076923083</v>
      </c>
      <c r="AP8" s="231">
        <f>+Janvier!AR8</f>
        <v>591.70673076923083</v>
      </c>
      <c r="AQ8" s="231">
        <f>+Janvier!AS8</f>
        <v>1051.9230769230769</v>
      </c>
      <c r="AR8" s="19">
        <f t="shared" si="1"/>
        <v>0</v>
      </c>
      <c r="AS8" s="19">
        <f t="shared" ref="AS8:AS13" si="3">ROUND(H8/(AI8/5),0)</f>
        <v>0</v>
      </c>
      <c r="AT8" s="19">
        <f t="shared" ref="AT8:AT13" si="4">ROUND(K8/(AJ8/5),0)</f>
        <v>0</v>
      </c>
      <c r="AU8" s="19">
        <f t="shared" ref="AU8:AU13" si="5">ROUND(N8/(AK8/5),0)</f>
        <v>0</v>
      </c>
      <c r="AV8" s="19">
        <f t="shared" ref="AV8:AV13" si="6">ROUND(Q8/(AL8/5),0)</f>
        <v>0</v>
      </c>
      <c r="AW8" s="19">
        <f t="shared" ref="AW8:AW13" si="7">ROUND(T8/(AM8/5),0)</f>
        <v>0</v>
      </c>
      <c r="AX8" s="19">
        <f t="shared" ref="AX8:AX13" si="8">ROUND(W8/(AN8/5),0)</f>
        <v>0</v>
      </c>
      <c r="AY8" s="19">
        <f t="shared" ref="AY8:AY13" si="9">ROUND(Z8/(AO8/5),0)</f>
        <v>0</v>
      </c>
      <c r="AZ8" s="19">
        <f t="shared" ref="AZ8:AZ13" si="10">ROUND(AC8/(AP8/5),0)</f>
        <v>0</v>
      </c>
      <c r="BA8" s="20">
        <f t="shared" si="2"/>
        <v>0</v>
      </c>
    </row>
    <row r="9" spans="1:53" x14ac:dyDescent="0.3">
      <c r="A9" s="184" t="s">
        <v>102</v>
      </c>
      <c r="B9" s="94"/>
      <c r="C9" s="233"/>
      <c r="D9" s="107"/>
      <c r="E9" s="96"/>
      <c r="F9" s="97"/>
      <c r="G9" s="237"/>
      <c r="H9" s="96"/>
      <c r="I9" s="105"/>
      <c r="J9" s="95"/>
      <c r="K9" s="96"/>
      <c r="L9" s="97"/>
      <c r="M9" s="95"/>
      <c r="N9" s="96"/>
      <c r="O9" s="97"/>
      <c r="P9" s="95"/>
      <c r="Q9" s="96"/>
      <c r="R9" s="97"/>
      <c r="S9" s="95"/>
      <c r="T9" s="96"/>
      <c r="U9" s="97"/>
      <c r="V9" s="95"/>
      <c r="W9" s="96"/>
      <c r="X9" s="97"/>
      <c r="Y9" s="95"/>
      <c r="Z9" s="96"/>
      <c r="AA9" s="97"/>
      <c r="AB9" s="95"/>
      <c r="AC9" s="96"/>
      <c r="AD9" s="97"/>
      <c r="AE9" s="95"/>
      <c r="AF9" s="96"/>
      <c r="AG9" s="105"/>
      <c r="AH9" s="231">
        <f>+Janvier!AJ9</f>
        <v>611.82692307692309</v>
      </c>
      <c r="AI9" s="231">
        <f>+Janvier!AK9</f>
        <v>1903.4615384615386</v>
      </c>
      <c r="AJ9" s="231">
        <f>+Janvier!AL9</f>
        <v>1427.5961538461543</v>
      </c>
      <c r="AK9" s="231">
        <f>+Janvier!AM9</f>
        <v>1427.5961538461543</v>
      </c>
      <c r="AL9" s="231">
        <f>+Janvier!AN9</f>
        <v>865.20979020979041</v>
      </c>
      <c r="AM9" s="231">
        <f>+Janvier!AO9</f>
        <v>535.34855769230762</v>
      </c>
      <c r="AN9" s="231">
        <f>+Janvier!AP9</f>
        <v>1070.6971153846152</v>
      </c>
      <c r="AO9" s="231">
        <f>+Janvier!AQ9</f>
        <v>535.34855769230762</v>
      </c>
      <c r="AP9" s="231">
        <f>+Janvier!AR9</f>
        <v>535.34855769230762</v>
      </c>
      <c r="AQ9" s="231">
        <f>+Janvier!AS9</f>
        <v>951.73076923076928</v>
      </c>
      <c r="AR9" s="19">
        <f t="shared" si="1"/>
        <v>0</v>
      </c>
      <c r="AS9" s="19">
        <f t="shared" si="3"/>
        <v>0</v>
      </c>
      <c r="AT9" s="19">
        <f t="shared" si="4"/>
        <v>0</v>
      </c>
      <c r="AU9" s="19">
        <f t="shared" si="5"/>
        <v>0</v>
      </c>
      <c r="AV9" s="19">
        <f t="shared" si="6"/>
        <v>0</v>
      </c>
      <c r="AW9" s="19">
        <f t="shared" si="7"/>
        <v>0</v>
      </c>
      <c r="AX9" s="19">
        <f t="shared" si="8"/>
        <v>0</v>
      </c>
      <c r="AY9" s="19">
        <f t="shared" si="9"/>
        <v>0</v>
      </c>
      <c r="AZ9" s="19">
        <f t="shared" si="10"/>
        <v>0</v>
      </c>
      <c r="BA9" s="20">
        <f t="shared" si="2"/>
        <v>0</v>
      </c>
    </row>
    <row r="10" spans="1:53" x14ac:dyDescent="0.3">
      <c r="A10" s="184" t="s">
        <v>34</v>
      </c>
      <c r="B10" s="94"/>
      <c r="C10" s="233"/>
      <c r="D10" s="107"/>
      <c r="E10" s="96"/>
      <c r="F10" s="97"/>
      <c r="G10" s="237"/>
      <c r="H10" s="96"/>
      <c r="I10" s="105"/>
      <c r="J10" s="95"/>
      <c r="K10" s="96"/>
      <c r="L10" s="97"/>
      <c r="M10" s="95"/>
      <c r="N10" s="96"/>
      <c r="O10" s="97"/>
      <c r="P10" s="95"/>
      <c r="Q10" s="96"/>
      <c r="R10" s="97"/>
      <c r="S10" s="95"/>
      <c r="T10" s="96"/>
      <c r="U10" s="97"/>
      <c r="V10" s="95"/>
      <c r="W10" s="96"/>
      <c r="X10" s="97"/>
      <c r="Y10" s="95"/>
      <c r="Z10" s="96"/>
      <c r="AA10" s="97"/>
      <c r="AB10" s="95"/>
      <c r="AC10" s="96"/>
      <c r="AD10" s="97"/>
      <c r="AE10" s="95"/>
      <c r="AF10" s="96"/>
      <c r="AG10" s="105"/>
      <c r="AH10" s="231">
        <f>+Janvier!AJ10</f>
        <v>104.46428571428572</v>
      </c>
      <c r="AI10" s="231">
        <f>+Janvier!AK10</f>
        <v>325</v>
      </c>
      <c r="AJ10" s="231">
        <f>+Janvier!AL10</f>
        <v>243.75</v>
      </c>
      <c r="AK10" s="231">
        <f>+Janvier!AM10</f>
        <v>243.75</v>
      </c>
      <c r="AL10" s="231">
        <f>+Janvier!AN10</f>
        <v>147.72727272727275</v>
      </c>
      <c r="AM10" s="231">
        <f>+Janvier!AO10</f>
        <v>91.40625</v>
      </c>
      <c r="AN10" s="231">
        <f>+Janvier!AP10</f>
        <v>182.8125</v>
      </c>
      <c r="AO10" s="231">
        <f>+Janvier!AQ10</f>
        <v>91.40625</v>
      </c>
      <c r="AP10" s="231">
        <f>+Janvier!AR10</f>
        <v>91.40625</v>
      </c>
      <c r="AQ10" s="231">
        <f>+Janvier!AS10</f>
        <v>162.5</v>
      </c>
      <c r="AR10" s="19">
        <f t="shared" si="1"/>
        <v>0</v>
      </c>
      <c r="AS10" s="19">
        <f t="shared" si="3"/>
        <v>0</v>
      </c>
      <c r="AT10" s="19">
        <f t="shared" si="4"/>
        <v>0</v>
      </c>
      <c r="AU10" s="19">
        <f t="shared" si="5"/>
        <v>0</v>
      </c>
      <c r="AV10" s="19">
        <f t="shared" si="6"/>
        <v>0</v>
      </c>
      <c r="AW10" s="19">
        <f t="shared" si="7"/>
        <v>0</v>
      </c>
      <c r="AX10" s="19">
        <f t="shared" si="8"/>
        <v>0</v>
      </c>
      <c r="AY10" s="19">
        <f t="shared" si="9"/>
        <v>0</v>
      </c>
      <c r="AZ10" s="19">
        <f t="shared" si="10"/>
        <v>0</v>
      </c>
      <c r="BA10" s="20">
        <f t="shared" si="2"/>
        <v>0</v>
      </c>
    </row>
    <row r="11" spans="1:53" x14ac:dyDescent="0.3">
      <c r="A11" s="184" t="s">
        <v>103</v>
      </c>
      <c r="B11" s="94"/>
      <c r="C11" s="233"/>
      <c r="D11" s="107"/>
      <c r="E11" s="96"/>
      <c r="F11" s="97"/>
      <c r="G11" s="237"/>
      <c r="H11" s="96"/>
      <c r="I11" s="105"/>
      <c r="J11" s="95"/>
      <c r="K11" s="96"/>
      <c r="L11" s="97"/>
      <c r="M11" s="95"/>
      <c r="N11" s="96"/>
      <c r="O11" s="97"/>
      <c r="P11" s="95"/>
      <c r="Q11" s="96"/>
      <c r="R11" s="97"/>
      <c r="S11" s="95"/>
      <c r="T11" s="96"/>
      <c r="U11" s="97"/>
      <c r="V11" s="95"/>
      <c r="W11" s="96"/>
      <c r="X11" s="97"/>
      <c r="Y11" s="95"/>
      <c r="Z11" s="96"/>
      <c r="AA11" s="97"/>
      <c r="AB11" s="95"/>
      <c r="AC11" s="96"/>
      <c r="AD11" s="97"/>
      <c r="AE11" s="95"/>
      <c r="AF11" s="96"/>
      <c r="AG11" s="105"/>
      <c r="AH11" s="231">
        <f>+Janvier!AJ11</f>
        <v>190.75549450549454</v>
      </c>
      <c r="AI11" s="231">
        <f>+Janvier!AK11</f>
        <v>593.46153846153857</v>
      </c>
      <c r="AJ11" s="231">
        <f>+Janvier!AL11</f>
        <v>445.09615384615392</v>
      </c>
      <c r="AK11" s="231">
        <f>+Janvier!AM11</f>
        <v>445.09615384615392</v>
      </c>
      <c r="AL11" s="231">
        <f>+Janvier!AN11</f>
        <v>269.7552447552448</v>
      </c>
      <c r="AM11" s="231">
        <f>+Janvier!AO11</f>
        <v>166.91105769230771</v>
      </c>
      <c r="AN11" s="231">
        <f>+Janvier!AP11</f>
        <v>333.82211538461542</v>
      </c>
      <c r="AO11" s="231">
        <f>+Janvier!AQ11</f>
        <v>166.91105769230771</v>
      </c>
      <c r="AP11" s="231">
        <f>+Janvier!AR11</f>
        <v>166.91105769230771</v>
      </c>
      <c r="AQ11" s="231">
        <f>+Janvier!AS11</f>
        <v>296.73076923076928</v>
      </c>
      <c r="AR11" s="19">
        <f t="shared" si="1"/>
        <v>0</v>
      </c>
      <c r="AS11" s="19">
        <f t="shared" si="3"/>
        <v>0</v>
      </c>
      <c r="AT11" s="19">
        <f t="shared" si="4"/>
        <v>0</v>
      </c>
      <c r="AU11" s="19">
        <f t="shared" si="5"/>
        <v>0</v>
      </c>
      <c r="AV11" s="19">
        <f t="shared" si="6"/>
        <v>0</v>
      </c>
      <c r="AW11" s="19">
        <f t="shared" si="7"/>
        <v>0</v>
      </c>
      <c r="AX11" s="19">
        <f t="shared" si="8"/>
        <v>0</v>
      </c>
      <c r="AY11" s="19">
        <f t="shared" si="9"/>
        <v>0</v>
      </c>
      <c r="AZ11" s="19">
        <f t="shared" si="10"/>
        <v>0</v>
      </c>
      <c r="BA11" s="20">
        <f t="shared" si="2"/>
        <v>0</v>
      </c>
    </row>
    <row r="12" spans="1:53" x14ac:dyDescent="0.3">
      <c r="A12" s="184" t="s">
        <v>104</v>
      </c>
      <c r="B12" s="94"/>
      <c r="C12" s="233"/>
      <c r="D12" s="107"/>
      <c r="E12" s="106"/>
      <c r="F12" s="117"/>
      <c r="G12" s="236"/>
      <c r="H12" s="96"/>
      <c r="I12" s="105"/>
      <c r="J12" s="95"/>
      <c r="K12" s="96"/>
      <c r="L12" s="97"/>
      <c r="M12" s="95"/>
      <c r="N12" s="96"/>
      <c r="O12" s="97"/>
      <c r="P12" s="95"/>
      <c r="Q12" s="96"/>
      <c r="R12" s="97"/>
      <c r="S12" s="95"/>
      <c r="T12" s="96"/>
      <c r="U12" s="97"/>
      <c r="V12" s="95"/>
      <c r="W12" s="96"/>
      <c r="X12" s="97"/>
      <c r="Y12" s="95"/>
      <c r="Z12" s="96"/>
      <c r="AA12" s="97"/>
      <c r="AB12" s="95"/>
      <c r="AC12" s="96"/>
      <c r="AD12" s="97"/>
      <c r="AE12" s="95"/>
      <c r="AF12" s="96"/>
      <c r="AG12" s="105"/>
      <c r="AH12" s="231">
        <f>+Janvier!AJ12</f>
        <v>302.3901098901099</v>
      </c>
      <c r="AI12" s="231">
        <f>+Janvier!AK12</f>
        <v>940.76923076923083</v>
      </c>
      <c r="AJ12" s="231">
        <f>+Janvier!AL12</f>
        <v>705.57692307692321</v>
      </c>
      <c r="AK12" s="231">
        <f>+Janvier!AM12</f>
        <v>705.57692307692321</v>
      </c>
      <c r="AL12" s="231">
        <f>+Janvier!AN12</f>
        <v>427.62237762237766</v>
      </c>
      <c r="AM12" s="231">
        <f>+Janvier!AO12</f>
        <v>264.59134615384619</v>
      </c>
      <c r="AN12" s="231">
        <f>+Janvier!AP12</f>
        <v>529.18269230769238</v>
      </c>
      <c r="AO12" s="231">
        <f>+Janvier!AQ12</f>
        <v>264.59134615384619</v>
      </c>
      <c r="AP12" s="231">
        <f>+Janvier!AR12</f>
        <v>264.59134615384619</v>
      </c>
      <c r="AQ12" s="231">
        <f>+Janvier!AS12</f>
        <v>470.38461538461542</v>
      </c>
      <c r="AR12" s="19">
        <f t="shared" si="1"/>
        <v>0</v>
      </c>
      <c r="AS12" s="19">
        <f t="shared" si="3"/>
        <v>0</v>
      </c>
      <c r="AT12" s="19">
        <f t="shared" si="4"/>
        <v>0</v>
      </c>
      <c r="AU12" s="19">
        <f t="shared" si="5"/>
        <v>0</v>
      </c>
      <c r="AV12" s="19">
        <f t="shared" si="6"/>
        <v>0</v>
      </c>
      <c r="AW12" s="19">
        <f t="shared" si="7"/>
        <v>0</v>
      </c>
      <c r="AX12" s="19">
        <f t="shared" si="8"/>
        <v>0</v>
      </c>
      <c r="AY12" s="19">
        <f t="shared" si="9"/>
        <v>0</v>
      </c>
      <c r="AZ12" s="19">
        <f t="shared" si="10"/>
        <v>0</v>
      </c>
      <c r="BA12" s="20">
        <f t="shared" si="2"/>
        <v>0</v>
      </c>
    </row>
    <row r="13" spans="1:53" ht="15" thickBot="1" x14ac:dyDescent="0.35">
      <c r="A13" s="121" t="s">
        <v>105</v>
      </c>
      <c r="B13" s="143"/>
      <c r="C13" s="234"/>
      <c r="D13" s="249"/>
      <c r="E13" s="250"/>
      <c r="F13" s="251"/>
      <c r="G13" s="238"/>
      <c r="H13" s="109"/>
      <c r="I13" s="112"/>
      <c r="J13" s="111"/>
      <c r="K13" s="109"/>
      <c r="L13" s="110"/>
      <c r="M13" s="111"/>
      <c r="N13" s="109"/>
      <c r="O13" s="110"/>
      <c r="P13" s="111"/>
      <c r="Q13" s="109"/>
      <c r="R13" s="110"/>
      <c r="S13" s="111"/>
      <c r="T13" s="109"/>
      <c r="U13" s="110"/>
      <c r="V13" s="111"/>
      <c r="W13" s="109"/>
      <c r="X13" s="110"/>
      <c r="Y13" s="111"/>
      <c r="Z13" s="109"/>
      <c r="AA13" s="110"/>
      <c r="AB13" s="111"/>
      <c r="AC13" s="109"/>
      <c r="AD13" s="110"/>
      <c r="AE13" s="111"/>
      <c r="AF13" s="109"/>
      <c r="AG13" s="112"/>
      <c r="AH13" s="231">
        <f>+Janvier!AJ13</f>
        <v>749.42307692307691</v>
      </c>
      <c r="AI13" s="231">
        <f>+Janvier!AK13</f>
        <v>2331.5384615384619</v>
      </c>
      <c r="AJ13" s="231">
        <f>+Janvier!AL13</f>
        <v>1748.6538461538464</v>
      </c>
      <c r="AK13" s="231">
        <f>+Janvier!AM13</f>
        <v>1748.6538461538464</v>
      </c>
      <c r="AL13" s="231">
        <f>+Janvier!AN13</f>
        <v>1059.7902097902099</v>
      </c>
      <c r="AM13" s="231">
        <f>+Janvier!AO13</f>
        <v>655.74519230769226</v>
      </c>
      <c r="AN13" s="231">
        <f>+Janvier!AP13</f>
        <v>1311.4903846153845</v>
      </c>
      <c r="AO13" s="231">
        <f>+Janvier!AQ13</f>
        <v>655.74519230769226</v>
      </c>
      <c r="AP13" s="231">
        <f>+Janvier!AR13</f>
        <v>655.74519230769226</v>
      </c>
      <c r="AQ13" s="231">
        <f>+Janvier!AS13</f>
        <v>1165.7692307692309</v>
      </c>
      <c r="AR13" s="29">
        <f t="shared" si="1"/>
        <v>0</v>
      </c>
      <c r="AS13" s="29">
        <f t="shared" si="3"/>
        <v>0</v>
      </c>
      <c r="AT13" s="29">
        <f t="shared" si="4"/>
        <v>0</v>
      </c>
      <c r="AU13" s="29">
        <f t="shared" si="5"/>
        <v>0</v>
      </c>
      <c r="AV13" s="29">
        <f t="shared" si="6"/>
        <v>0</v>
      </c>
      <c r="AW13" s="29">
        <f t="shared" si="7"/>
        <v>0</v>
      </c>
      <c r="AX13" s="29">
        <f t="shared" si="8"/>
        <v>0</v>
      </c>
      <c r="AY13" s="29">
        <f t="shared" si="9"/>
        <v>0</v>
      </c>
      <c r="AZ13" s="29">
        <f t="shared" si="10"/>
        <v>0</v>
      </c>
      <c r="BA13" s="30">
        <f t="shared" si="2"/>
        <v>0</v>
      </c>
    </row>
    <row r="14" spans="1:53" x14ac:dyDescent="0.3">
      <c r="A14" s="140" t="s">
        <v>85</v>
      </c>
      <c r="B14" s="152"/>
      <c r="C14" s="242"/>
      <c r="D14" s="155"/>
      <c r="E14" s="154"/>
      <c r="F14" s="165"/>
      <c r="G14" s="245"/>
      <c r="H14" s="167"/>
      <c r="I14" s="168"/>
      <c r="J14" s="155"/>
      <c r="K14" s="154"/>
      <c r="L14" s="153"/>
      <c r="M14" s="155"/>
      <c r="N14" s="154"/>
      <c r="O14" s="153"/>
      <c r="P14" s="155"/>
      <c r="Q14" s="154"/>
      <c r="R14" s="153"/>
      <c r="S14" s="155"/>
      <c r="T14" s="154"/>
      <c r="U14" s="153"/>
      <c r="V14" s="155"/>
      <c r="W14" s="154"/>
      <c r="X14" s="153"/>
      <c r="Y14" s="155"/>
      <c r="Z14" s="154"/>
      <c r="AA14" s="153"/>
      <c r="AB14" s="155"/>
      <c r="AC14" s="154"/>
      <c r="AD14" s="153"/>
      <c r="AE14" s="155"/>
      <c r="AF14" s="154"/>
      <c r="AG14" s="223"/>
      <c r="AH14" s="231">
        <f>+Janvier!AJ14</f>
        <v>10845.32625</v>
      </c>
      <c r="AI14" s="231">
        <f>+Janvier!AK14</f>
        <v>37883.076923076922</v>
      </c>
      <c r="AJ14" s="231">
        <f>+Janvier!AL14</f>
        <v>25230.129230769231</v>
      </c>
      <c r="AK14" s="231">
        <f>+Janvier!AM14</f>
        <v>25230.129230769231</v>
      </c>
      <c r="AL14" s="231">
        <f>+Janvier!AN14</f>
        <v>15910.892307692309</v>
      </c>
      <c r="AM14" s="231">
        <f>+Janvier!AO14</f>
        <v>9470.7692307692305</v>
      </c>
      <c r="AN14" s="231">
        <f>+Janvier!AP14</f>
        <v>18941.538461538461</v>
      </c>
      <c r="AO14" s="231">
        <f>+Janvier!AQ14</f>
        <v>9470.7692307692305</v>
      </c>
      <c r="AP14" s="231">
        <f>+Janvier!AR14</f>
        <v>9470.7692307692305</v>
      </c>
      <c r="AQ14" s="231">
        <f>+Janvier!AS14</f>
        <v>16836.800192307695</v>
      </c>
      <c r="AR14" s="16">
        <f>ROUND(E14/(AH14/15),0)</f>
        <v>0</v>
      </c>
      <c r="AS14" s="16">
        <f t="shared" ref="AS14" si="11">ROUND(H14/(AI14/15),0)</f>
        <v>0</v>
      </c>
      <c r="AT14" s="16">
        <f t="shared" ref="AT14" si="12">ROUND(K14/(AJ14/15),0)</f>
        <v>0</v>
      </c>
      <c r="AU14" s="16">
        <f t="shared" ref="AU14" si="13">ROUND(N14/(AK14/15),0)</f>
        <v>0</v>
      </c>
      <c r="AV14" s="16">
        <f t="shared" ref="AV14" si="14">ROUND(Q14/(AL14/15),0)</f>
        <v>0</v>
      </c>
      <c r="AW14" s="16">
        <f t="shared" ref="AW14" si="15">ROUND(T14/(AM14/15),0)</f>
        <v>0</v>
      </c>
      <c r="AX14" s="16">
        <f t="shared" ref="AX14" si="16">ROUND(W14/(AN14/15),0)</f>
        <v>0</v>
      </c>
      <c r="AY14" s="16">
        <f t="shared" ref="AY14" si="17">ROUND(Z14/(AO14/15),0)</f>
        <v>0</v>
      </c>
      <c r="AZ14" s="16">
        <f t="shared" ref="AZ14" si="18">ROUND(AC14/(AP14/15),0)</f>
        <v>0</v>
      </c>
      <c r="BA14" s="17">
        <f t="shared" ref="BA14" si="19">ROUND(AF14/(AQ14/15),0)</f>
        <v>0</v>
      </c>
    </row>
    <row r="15" spans="1:53" x14ac:dyDescent="0.3">
      <c r="A15" s="184" t="s">
        <v>57</v>
      </c>
      <c r="B15" s="127"/>
      <c r="C15" s="243"/>
      <c r="D15" s="130"/>
      <c r="E15" s="129"/>
      <c r="F15" s="169"/>
      <c r="G15" s="246"/>
      <c r="H15" s="171"/>
      <c r="I15" s="172"/>
      <c r="J15" s="130"/>
      <c r="K15" s="129"/>
      <c r="L15" s="128"/>
      <c r="M15" s="130"/>
      <c r="N15" s="129"/>
      <c r="O15" s="128"/>
      <c r="P15" s="130"/>
      <c r="Q15" s="129"/>
      <c r="R15" s="128"/>
      <c r="S15" s="130"/>
      <c r="T15" s="129"/>
      <c r="U15" s="128"/>
      <c r="V15" s="130"/>
      <c r="W15" s="129"/>
      <c r="X15" s="128"/>
      <c r="Y15" s="130"/>
      <c r="Z15" s="129"/>
      <c r="AA15" s="128"/>
      <c r="AB15" s="130"/>
      <c r="AC15" s="129"/>
      <c r="AD15" s="128"/>
      <c r="AE15" s="130"/>
      <c r="AF15" s="129"/>
      <c r="AG15" s="224"/>
      <c r="AH15" s="231">
        <f>+Janvier!AJ15</f>
        <v>567.93956043956052</v>
      </c>
      <c r="AI15" s="231">
        <f>+Janvier!AK15</f>
        <v>1766.9230769230774</v>
      </c>
      <c r="AJ15" s="231">
        <f>+Janvier!AL15</f>
        <v>1325.1923076923076</v>
      </c>
      <c r="AK15" s="231">
        <f>+Janvier!AM15</f>
        <v>1325.1923076923076</v>
      </c>
      <c r="AL15" s="231">
        <f>+Janvier!AN15</f>
        <v>803.14685314685323</v>
      </c>
      <c r="AM15" s="231">
        <f>+Janvier!AO15</f>
        <v>496.94711538461542</v>
      </c>
      <c r="AN15" s="231">
        <f>+Janvier!AP15</f>
        <v>993.89423076923083</v>
      </c>
      <c r="AO15" s="231">
        <f>+Janvier!AQ15</f>
        <v>496.94711538461542</v>
      </c>
      <c r="AP15" s="231">
        <f>+Janvier!AR15</f>
        <v>496.94711538461542</v>
      </c>
      <c r="AQ15" s="231">
        <f>+Janvier!AS15</f>
        <v>883.46153846153868</v>
      </c>
      <c r="AR15" s="16">
        <f t="shared" ref="AR15:AR20" si="20">ROUND(E15/(AH15/5),0)</f>
        <v>0</v>
      </c>
      <c r="AS15" s="16">
        <f t="shared" ref="AS15:AS20" si="21">ROUND(H15/(AI15/5),0)</f>
        <v>0</v>
      </c>
      <c r="AT15" s="16">
        <f t="shared" ref="AT15:AT20" si="22">ROUND(K15/(AJ15/5),0)</f>
        <v>0</v>
      </c>
      <c r="AU15" s="16">
        <f t="shared" ref="AU15:AU20" si="23">ROUND(N15/(AK15/5),0)</f>
        <v>0</v>
      </c>
      <c r="AV15" s="16">
        <f t="shared" ref="AV15:AV20" si="24">ROUND(Q15/(AL15/5),0)</f>
        <v>0</v>
      </c>
      <c r="AW15" s="16">
        <f t="shared" ref="AW15:AW20" si="25">ROUND(T15/(AM15/5),0)</f>
        <v>0</v>
      </c>
      <c r="AX15" s="16">
        <f t="shared" ref="AX15:AX20" si="26">ROUND(W15/(AN15/5),0)</f>
        <v>0</v>
      </c>
      <c r="AY15" s="16">
        <f t="shared" ref="AY15:AY20" si="27">ROUND(Z15/(AO15/5),0)</f>
        <v>0</v>
      </c>
      <c r="AZ15" s="16">
        <f t="shared" ref="AZ15:AZ20" si="28">ROUND(AC15/(AP15/5),0)</f>
        <v>0</v>
      </c>
      <c r="BA15" s="17">
        <f t="shared" ref="BA15:BA20" si="29">ROUND(AF15/(AQ15/5),0)</f>
        <v>0</v>
      </c>
    </row>
    <row r="16" spans="1:53" x14ac:dyDescent="0.3">
      <c r="A16" s="184" t="s">
        <v>58</v>
      </c>
      <c r="B16" s="127"/>
      <c r="C16" s="243"/>
      <c r="D16" s="130"/>
      <c r="E16" s="129"/>
      <c r="F16" s="169"/>
      <c r="G16" s="246"/>
      <c r="H16" s="171"/>
      <c r="I16" s="172"/>
      <c r="J16" s="130"/>
      <c r="K16" s="129"/>
      <c r="L16" s="131"/>
      <c r="M16" s="130"/>
      <c r="N16" s="129"/>
      <c r="O16" s="128"/>
      <c r="P16" s="130"/>
      <c r="Q16" s="129"/>
      <c r="R16" s="128"/>
      <c r="S16" s="130"/>
      <c r="T16" s="129"/>
      <c r="U16" s="128"/>
      <c r="V16" s="130"/>
      <c r="W16" s="129"/>
      <c r="X16" s="128"/>
      <c r="Y16" s="130"/>
      <c r="Z16" s="129"/>
      <c r="AA16" s="128"/>
      <c r="AB16" s="130"/>
      <c r="AC16" s="129"/>
      <c r="AD16" s="128"/>
      <c r="AE16" s="130"/>
      <c r="AF16" s="129"/>
      <c r="AG16" s="224"/>
      <c r="AH16" s="231">
        <f>+Janvier!AJ16</f>
        <v>952.54120879120887</v>
      </c>
      <c r="AI16" s="231">
        <f>+Janvier!AK16</f>
        <v>2963.4615384615386</v>
      </c>
      <c r="AJ16" s="231">
        <f>+Janvier!AL16</f>
        <v>2222.5961538461538</v>
      </c>
      <c r="AK16" s="231">
        <f>+Janvier!AM16</f>
        <v>2222.5961538461538</v>
      </c>
      <c r="AL16" s="231">
        <f>+Janvier!AN16</f>
        <v>1347.0279720279721</v>
      </c>
      <c r="AM16" s="231">
        <f>+Janvier!AO16</f>
        <v>833.47355769230774</v>
      </c>
      <c r="AN16" s="231">
        <f>+Janvier!AP16</f>
        <v>1666.9471153846155</v>
      </c>
      <c r="AO16" s="231">
        <f>+Janvier!AQ16</f>
        <v>833.47355769230774</v>
      </c>
      <c r="AP16" s="231">
        <f>+Janvier!AR16</f>
        <v>833.47355769230774</v>
      </c>
      <c r="AQ16" s="231">
        <f>+Janvier!AS16</f>
        <v>1481.7307692307693</v>
      </c>
      <c r="AR16" s="16">
        <f t="shared" si="20"/>
        <v>0</v>
      </c>
      <c r="AS16" s="16">
        <f t="shared" si="21"/>
        <v>0</v>
      </c>
      <c r="AT16" s="16">
        <f t="shared" si="22"/>
        <v>0</v>
      </c>
      <c r="AU16" s="16">
        <f t="shared" si="23"/>
        <v>0</v>
      </c>
      <c r="AV16" s="16">
        <f t="shared" si="24"/>
        <v>0</v>
      </c>
      <c r="AW16" s="16">
        <f t="shared" si="25"/>
        <v>0</v>
      </c>
      <c r="AX16" s="16">
        <f t="shared" si="26"/>
        <v>0</v>
      </c>
      <c r="AY16" s="16">
        <f t="shared" si="27"/>
        <v>0</v>
      </c>
      <c r="AZ16" s="16">
        <f t="shared" si="28"/>
        <v>0</v>
      </c>
      <c r="BA16" s="17">
        <f t="shared" si="29"/>
        <v>0</v>
      </c>
    </row>
    <row r="17" spans="1:53" x14ac:dyDescent="0.3">
      <c r="A17" s="184" t="s">
        <v>59</v>
      </c>
      <c r="B17" s="127"/>
      <c r="C17" s="243"/>
      <c r="D17" s="130"/>
      <c r="E17" s="129"/>
      <c r="F17" s="169"/>
      <c r="G17" s="246"/>
      <c r="H17" s="171"/>
      <c r="I17" s="172"/>
      <c r="J17" s="130"/>
      <c r="K17" s="129"/>
      <c r="L17" s="128"/>
      <c r="M17" s="130"/>
      <c r="N17" s="129"/>
      <c r="O17" s="128"/>
      <c r="P17" s="130"/>
      <c r="Q17" s="129"/>
      <c r="R17" s="128"/>
      <c r="S17" s="130"/>
      <c r="T17" s="129"/>
      <c r="U17" s="128"/>
      <c r="V17" s="130"/>
      <c r="W17" s="129"/>
      <c r="X17" s="128"/>
      <c r="Y17" s="130"/>
      <c r="Z17" s="129"/>
      <c r="AA17" s="128"/>
      <c r="AB17" s="130"/>
      <c r="AC17" s="129"/>
      <c r="AD17" s="128"/>
      <c r="AE17" s="130"/>
      <c r="AF17" s="129"/>
      <c r="AG17" s="224"/>
      <c r="AH17" s="231">
        <f>+Janvier!AJ17</f>
        <v>506.86813186813191</v>
      </c>
      <c r="AI17" s="231">
        <f>+Janvier!AK17</f>
        <v>1576.9230769230767</v>
      </c>
      <c r="AJ17" s="231">
        <f>+Janvier!AL17</f>
        <v>1182.6923076923076</v>
      </c>
      <c r="AK17" s="231">
        <f>+Janvier!AM17</f>
        <v>1182.6923076923076</v>
      </c>
      <c r="AL17" s="231">
        <f>+Janvier!AN17</f>
        <v>716.78321678321686</v>
      </c>
      <c r="AM17" s="231">
        <f>+Janvier!AO17</f>
        <v>443.50961538461542</v>
      </c>
      <c r="AN17" s="231">
        <f>+Janvier!AP17</f>
        <v>887.01923076923083</v>
      </c>
      <c r="AO17" s="231">
        <f>+Janvier!AQ17</f>
        <v>443.50961538461542</v>
      </c>
      <c r="AP17" s="231">
        <f>+Janvier!AR17</f>
        <v>443.50961538461542</v>
      </c>
      <c r="AQ17" s="231">
        <f>+Janvier!AS17</f>
        <v>788.46153846153834</v>
      </c>
      <c r="AR17" s="16">
        <f t="shared" si="20"/>
        <v>0</v>
      </c>
      <c r="AS17" s="16">
        <f t="shared" si="21"/>
        <v>0</v>
      </c>
      <c r="AT17" s="16">
        <f t="shared" si="22"/>
        <v>0</v>
      </c>
      <c r="AU17" s="16">
        <f t="shared" si="23"/>
        <v>0</v>
      </c>
      <c r="AV17" s="16">
        <f t="shared" si="24"/>
        <v>0</v>
      </c>
      <c r="AW17" s="16">
        <f t="shared" si="25"/>
        <v>0</v>
      </c>
      <c r="AX17" s="16">
        <f t="shared" si="26"/>
        <v>0</v>
      </c>
      <c r="AY17" s="16">
        <f t="shared" si="27"/>
        <v>0</v>
      </c>
      <c r="AZ17" s="16">
        <f t="shared" si="28"/>
        <v>0</v>
      </c>
      <c r="BA17" s="17">
        <f t="shared" si="29"/>
        <v>0</v>
      </c>
    </row>
    <row r="18" spans="1:53" x14ac:dyDescent="0.3">
      <c r="A18" s="184" t="s">
        <v>60</v>
      </c>
      <c r="B18" s="127"/>
      <c r="C18" s="243"/>
      <c r="D18" s="130"/>
      <c r="E18" s="129"/>
      <c r="F18" s="169"/>
      <c r="G18" s="246"/>
      <c r="H18" s="171"/>
      <c r="I18" s="172"/>
      <c r="J18" s="130"/>
      <c r="K18" s="129"/>
      <c r="L18" s="131"/>
      <c r="M18" s="130"/>
      <c r="N18" s="129"/>
      <c r="O18" s="131"/>
      <c r="P18" s="130"/>
      <c r="Q18" s="129"/>
      <c r="R18" s="128"/>
      <c r="S18" s="130"/>
      <c r="T18" s="129"/>
      <c r="U18" s="128"/>
      <c r="V18" s="130"/>
      <c r="W18" s="129"/>
      <c r="X18" s="128"/>
      <c r="Y18" s="130"/>
      <c r="Z18" s="129"/>
      <c r="AA18" s="128"/>
      <c r="AB18" s="130"/>
      <c r="AC18" s="129"/>
      <c r="AD18" s="128"/>
      <c r="AE18" s="130"/>
      <c r="AF18" s="129"/>
      <c r="AG18" s="224"/>
      <c r="AH18" s="231">
        <f>+Janvier!AJ18</f>
        <v>785.76923076923083</v>
      </c>
      <c r="AI18" s="231">
        <f>+Janvier!AK18</f>
        <v>2444.6153846153852</v>
      </c>
      <c r="AJ18" s="231">
        <f>+Janvier!AL18</f>
        <v>1833.4615384615383</v>
      </c>
      <c r="AK18" s="231">
        <f>+Janvier!AM18</f>
        <v>1833.4615384615383</v>
      </c>
      <c r="AL18" s="231">
        <f>+Janvier!AN18</f>
        <v>1111.1888111888113</v>
      </c>
      <c r="AM18" s="231">
        <f>+Janvier!AO18</f>
        <v>687.54807692307713</v>
      </c>
      <c r="AN18" s="231">
        <f>+Janvier!AP18</f>
        <v>1375.0961538461543</v>
      </c>
      <c r="AO18" s="231">
        <f>+Janvier!AQ18</f>
        <v>687.54807692307713</v>
      </c>
      <c r="AP18" s="231">
        <f>+Janvier!AR18</f>
        <v>687.54807692307713</v>
      </c>
      <c r="AQ18" s="231">
        <f>+Janvier!AS18</f>
        <v>1222.3076923076926</v>
      </c>
      <c r="AR18" s="16">
        <f t="shared" si="20"/>
        <v>0</v>
      </c>
      <c r="AS18" s="16">
        <f t="shared" si="21"/>
        <v>0</v>
      </c>
      <c r="AT18" s="16">
        <f t="shared" si="22"/>
        <v>0</v>
      </c>
      <c r="AU18" s="16">
        <f t="shared" si="23"/>
        <v>0</v>
      </c>
      <c r="AV18" s="16">
        <f t="shared" si="24"/>
        <v>0</v>
      </c>
      <c r="AW18" s="16">
        <f t="shared" si="25"/>
        <v>0</v>
      </c>
      <c r="AX18" s="16">
        <f t="shared" si="26"/>
        <v>0</v>
      </c>
      <c r="AY18" s="16">
        <f t="shared" si="27"/>
        <v>0</v>
      </c>
      <c r="AZ18" s="16">
        <f t="shared" si="28"/>
        <v>0</v>
      </c>
      <c r="BA18" s="17">
        <f t="shared" si="29"/>
        <v>0</v>
      </c>
    </row>
    <row r="19" spans="1:53" x14ac:dyDescent="0.3">
      <c r="A19" s="184" t="s">
        <v>61</v>
      </c>
      <c r="B19" s="127"/>
      <c r="C19" s="243"/>
      <c r="D19" s="130"/>
      <c r="E19" s="129"/>
      <c r="F19" s="169"/>
      <c r="G19" s="247"/>
      <c r="H19" s="175"/>
      <c r="I19" s="176"/>
      <c r="J19" s="134"/>
      <c r="K19" s="133"/>
      <c r="L19" s="132"/>
      <c r="M19" s="134"/>
      <c r="N19" s="133"/>
      <c r="O19" s="132"/>
      <c r="P19" s="134"/>
      <c r="Q19" s="133"/>
      <c r="R19" s="132"/>
      <c r="S19" s="134"/>
      <c r="T19" s="133"/>
      <c r="U19" s="132"/>
      <c r="V19" s="134"/>
      <c r="W19" s="133"/>
      <c r="X19" s="132"/>
      <c r="Y19" s="134"/>
      <c r="Z19" s="133"/>
      <c r="AA19" s="132"/>
      <c r="AB19" s="134"/>
      <c r="AC19" s="133"/>
      <c r="AD19" s="132"/>
      <c r="AE19" s="134"/>
      <c r="AF19" s="133"/>
      <c r="AG19" s="225"/>
      <c r="AH19" s="231">
        <f>+Janvier!AJ19</f>
        <v>309.43681318681325</v>
      </c>
      <c r="AI19" s="231">
        <f>+Janvier!AK19</f>
        <v>962.69230769230785</v>
      </c>
      <c r="AJ19" s="231">
        <f>+Janvier!AL19</f>
        <v>722.01923076923083</v>
      </c>
      <c r="AK19" s="231">
        <f>+Janvier!AM19</f>
        <v>722.01923076923083</v>
      </c>
      <c r="AL19" s="231">
        <f>+Janvier!AN19</f>
        <v>437.5874125874127</v>
      </c>
      <c r="AM19" s="231">
        <f>+Janvier!AO19</f>
        <v>270.75721153846155</v>
      </c>
      <c r="AN19" s="231">
        <f>+Janvier!AP19</f>
        <v>541.51442307692309</v>
      </c>
      <c r="AO19" s="231">
        <f>+Janvier!AQ19</f>
        <v>270.75721153846155</v>
      </c>
      <c r="AP19" s="231">
        <f>+Janvier!AR19</f>
        <v>270.75721153846155</v>
      </c>
      <c r="AQ19" s="231">
        <f>+Janvier!AS19</f>
        <v>481.34615384615392</v>
      </c>
      <c r="AR19" s="16">
        <f t="shared" si="20"/>
        <v>0</v>
      </c>
      <c r="AS19" s="16">
        <f t="shared" si="21"/>
        <v>0</v>
      </c>
      <c r="AT19" s="16">
        <f t="shared" si="22"/>
        <v>0</v>
      </c>
      <c r="AU19" s="16">
        <f t="shared" si="23"/>
        <v>0</v>
      </c>
      <c r="AV19" s="16">
        <f t="shared" si="24"/>
        <v>0</v>
      </c>
      <c r="AW19" s="16">
        <f t="shared" si="25"/>
        <v>0</v>
      </c>
      <c r="AX19" s="16">
        <f t="shared" si="26"/>
        <v>0</v>
      </c>
      <c r="AY19" s="16">
        <f t="shared" si="27"/>
        <v>0</v>
      </c>
      <c r="AZ19" s="16">
        <f t="shared" si="28"/>
        <v>0</v>
      </c>
      <c r="BA19" s="17">
        <f t="shared" si="29"/>
        <v>0</v>
      </c>
    </row>
    <row r="20" spans="1:53" ht="15" thickBot="1" x14ac:dyDescent="0.35">
      <c r="A20" s="121" t="s">
        <v>62</v>
      </c>
      <c r="B20" s="156"/>
      <c r="C20" s="244"/>
      <c r="D20" s="159"/>
      <c r="E20" s="158"/>
      <c r="F20" s="177"/>
      <c r="G20" s="248"/>
      <c r="H20" s="179"/>
      <c r="I20" s="180"/>
      <c r="J20" s="159"/>
      <c r="K20" s="158"/>
      <c r="L20" s="157"/>
      <c r="M20" s="159"/>
      <c r="N20" s="158"/>
      <c r="O20" s="157"/>
      <c r="P20" s="159"/>
      <c r="Q20" s="158"/>
      <c r="R20" s="157"/>
      <c r="S20" s="159"/>
      <c r="T20" s="158"/>
      <c r="U20" s="157"/>
      <c r="V20" s="159"/>
      <c r="W20" s="158"/>
      <c r="X20" s="157"/>
      <c r="Y20" s="159"/>
      <c r="Z20" s="158"/>
      <c r="AA20" s="157"/>
      <c r="AB20" s="159"/>
      <c r="AC20" s="158"/>
      <c r="AD20" s="157"/>
      <c r="AE20" s="159"/>
      <c r="AF20" s="158"/>
      <c r="AG20" s="226"/>
      <c r="AH20" s="231">
        <f>+Janvier!AJ20</f>
        <v>485.2335164835165</v>
      </c>
      <c r="AI20" s="231">
        <f>+Janvier!AK20</f>
        <v>1509.6153846153845</v>
      </c>
      <c r="AJ20" s="231">
        <f>+Janvier!AL20</f>
        <v>1132.2115384615383</v>
      </c>
      <c r="AK20" s="231">
        <f>+Janvier!AM20</f>
        <v>1132.2115384615383</v>
      </c>
      <c r="AL20" s="231">
        <f>+Janvier!AN20</f>
        <v>686.1888111888112</v>
      </c>
      <c r="AM20" s="231">
        <f>+Janvier!AO20</f>
        <v>424.57932692307691</v>
      </c>
      <c r="AN20" s="231">
        <f>+Janvier!AP20</f>
        <v>849.15865384615381</v>
      </c>
      <c r="AO20" s="231">
        <f>+Janvier!AQ20</f>
        <v>424.57932692307691</v>
      </c>
      <c r="AP20" s="231">
        <f>+Janvier!AR20</f>
        <v>424.57932692307691</v>
      </c>
      <c r="AQ20" s="231">
        <f>+Janvier!AS20</f>
        <v>754.80769230769226</v>
      </c>
      <c r="AR20" s="32">
        <f t="shared" si="20"/>
        <v>0</v>
      </c>
      <c r="AS20" s="32">
        <f t="shared" si="21"/>
        <v>0</v>
      </c>
      <c r="AT20" s="32">
        <f t="shared" si="22"/>
        <v>0</v>
      </c>
      <c r="AU20" s="32">
        <f t="shared" si="23"/>
        <v>0</v>
      </c>
      <c r="AV20" s="32">
        <f t="shared" si="24"/>
        <v>0</v>
      </c>
      <c r="AW20" s="32">
        <f t="shared" si="25"/>
        <v>0</v>
      </c>
      <c r="AX20" s="32">
        <f t="shared" si="26"/>
        <v>0</v>
      </c>
      <c r="AY20" s="32">
        <f t="shared" si="27"/>
        <v>0</v>
      </c>
      <c r="AZ20" s="32">
        <f t="shared" si="28"/>
        <v>0</v>
      </c>
      <c r="BA20" s="33">
        <f t="shared" si="29"/>
        <v>0</v>
      </c>
    </row>
    <row r="21" spans="1:53" x14ac:dyDescent="0.3">
      <c r="A21" s="140" t="s">
        <v>91</v>
      </c>
      <c r="B21" s="160"/>
      <c r="C21" s="160"/>
      <c r="D21" s="252"/>
      <c r="E21" s="149"/>
      <c r="F21" s="150"/>
      <c r="G21" s="125"/>
      <c r="H21" s="123"/>
      <c r="I21" s="126"/>
      <c r="J21" s="125"/>
      <c r="K21" s="123"/>
      <c r="L21" s="124"/>
      <c r="M21" s="125"/>
      <c r="N21" s="123"/>
      <c r="O21" s="124"/>
      <c r="P21" s="125"/>
      <c r="Q21" s="123"/>
      <c r="R21" s="124"/>
      <c r="S21" s="125"/>
      <c r="T21" s="123"/>
      <c r="U21" s="124"/>
      <c r="V21" s="125"/>
      <c r="W21" s="123"/>
      <c r="X21" s="124"/>
      <c r="Y21" s="125"/>
      <c r="Z21" s="114"/>
      <c r="AA21" s="115"/>
      <c r="AB21" s="113"/>
      <c r="AC21" s="123"/>
      <c r="AD21" s="124"/>
      <c r="AE21" s="125"/>
      <c r="AF21" s="123"/>
      <c r="AG21" s="126"/>
      <c r="AH21" s="231">
        <f>+Janvier!AJ21</f>
        <v>46732.578750000001</v>
      </c>
      <c r="AI21" s="231">
        <f>+Janvier!AK21</f>
        <v>160746.05769230769</v>
      </c>
      <c r="AJ21" s="231">
        <f>+Janvier!AL21</f>
        <v>107056.87442307695</v>
      </c>
      <c r="AK21" s="231">
        <f>+Janvier!AM21</f>
        <v>107056.87442307695</v>
      </c>
      <c r="AL21" s="231">
        <f>+Janvier!AN21</f>
        <v>67513.344230769231</v>
      </c>
      <c r="AM21" s="231">
        <f>+Janvier!AO21</f>
        <v>40186.514423076922</v>
      </c>
      <c r="AN21" s="231">
        <f>+Janvier!AP21</f>
        <v>80373.028846153844</v>
      </c>
      <c r="AO21" s="231">
        <f>+Janvier!AQ21</f>
        <v>40186.514423076922</v>
      </c>
      <c r="AP21" s="231">
        <f>+Janvier!AR21</f>
        <v>40186.514423076922</v>
      </c>
      <c r="AQ21" s="231">
        <f>+Janvier!AS21</f>
        <v>72549.877500000002</v>
      </c>
      <c r="AR21" s="90">
        <f>ROUND(E21/(AH21/15),0)</f>
        <v>0</v>
      </c>
      <c r="AS21" s="90">
        <f t="shared" ref="AS21" si="30">ROUND(H21/(AI21/15),0)</f>
        <v>0</v>
      </c>
      <c r="AT21" s="90">
        <f t="shared" ref="AT21" si="31">ROUND(K21/(AJ21/15),0)</f>
        <v>0</v>
      </c>
      <c r="AU21" s="90">
        <f t="shared" ref="AU21" si="32">ROUND(N21/(AK21/15),0)</f>
        <v>0</v>
      </c>
      <c r="AV21" s="90">
        <f t="shared" ref="AV21" si="33">ROUND(Q21/(AL21/15),0)</f>
        <v>0</v>
      </c>
      <c r="AW21" s="90">
        <f t="shared" ref="AW21" si="34">ROUND(T21/(AM21/15),0)</f>
        <v>0</v>
      </c>
      <c r="AX21" s="90">
        <f t="shared" ref="AX21" si="35">ROUND(W21/(AN21/15),0)</f>
        <v>0</v>
      </c>
      <c r="AY21" s="90">
        <f t="shared" ref="AY21" si="36">ROUND(Z21/(AO21/15),0)</f>
        <v>0</v>
      </c>
      <c r="AZ21" s="90">
        <f t="shared" ref="AZ21" si="37">ROUND(AC21/(AP21/15),0)</f>
        <v>0</v>
      </c>
      <c r="BA21" s="91">
        <f t="shared" ref="BA21" si="38">ROUND(AF21/(AQ21/15),0)</f>
        <v>0</v>
      </c>
    </row>
    <row r="22" spans="1:53" x14ac:dyDescent="0.3">
      <c r="A22" s="184" t="s">
        <v>14</v>
      </c>
      <c r="B22" s="94"/>
      <c r="C22" s="94"/>
      <c r="D22" s="104"/>
      <c r="E22" s="96"/>
      <c r="F22" s="97"/>
      <c r="G22" s="95"/>
      <c r="H22" s="96"/>
      <c r="I22" s="105"/>
      <c r="J22" s="95"/>
      <c r="K22" s="96"/>
      <c r="L22" s="97"/>
      <c r="M22" s="95"/>
      <c r="N22" s="96"/>
      <c r="O22" s="97"/>
      <c r="P22" s="95"/>
      <c r="Q22" s="96"/>
      <c r="R22" s="97"/>
      <c r="S22" s="95"/>
      <c r="T22" s="96"/>
      <c r="U22" s="97"/>
      <c r="V22" s="95"/>
      <c r="W22" s="96"/>
      <c r="X22" s="97"/>
      <c r="Y22" s="95"/>
      <c r="Z22" s="96"/>
      <c r="AA22" s="100"/>
      <c r="AB22" s="95"/>
      <c r="AC22" s="96"/>
      <c r="AD22" s="97"/>
      <c r="AE22" s="95"/>
      <c r="AF22" s="96"/>
      <c r="AG22" s="105"/>
      <c r="AH22" s="231">
        <f>+Janvier!AJ22</f>
        <v>1770.3296703296703</v>
      </c>
      <c r="AI22" s="231">
        <f>+Janvier!AK22</f>
        <v>5507.6923076923067</v>
      </c>
      <c r="AJ22" s="231">
        <f>+Janvier!AL22</f>
        <v>4130.7692307692305</v>
      </c>
      <c r="AK22" s="231">
        <f>+Janvier!AM22</f>
        <v>4130.7692307692305</v>
      </c>
      <c r="AL22" s="231">
        <f>+Janvier!AN22</f>
        <v>2503.4965034965039</v>
      </c>
      <c r="AM22" s="231">
        <f>+Janvier!AO22</f>
        <v>1549.0384615384617</v>
      </c>
      <c r="AN22" s="231">
        <f>+Janvier!AP22</f>
        <v>3098.0769230769233</v>
      </c>
      <c r="AO22" s="231">
        <f>+Janvier!AQ22</f>
        <v>1549.0384615384617</v>
      </c>
      <c r="AP22" s="231">
        <f>+Janvier!AR22</f>
        <v>1549.0384615384617</v>
      </c>
      <c r="AQ22" s="231">
        <f>+Janvier!AS22</f>
        <v>2753.8461538461534</v>
      </c>
      <c r="AR22" s="90">
        <f t="shared" ref="AR22:AR29" si="39">ROUND(E22/(AH22/5),0)</f>
        <v>0</v>
      </c>
      <c r="AS22" s="90">
        <f t="shared" ref="AS22:AS29" si="40">ROUND(H22/(AI22/5),0)</f>
        <v>0</v>
      </c>
      <c r="AT22" s="90">
        <f t="shared" ref="AT22:AT29" si="41">ROUND(K22/(AJ22/5),0)</f>
        <v>0</v>
      </c>
      <c r="AU22" s="90">
        <f t="shared" ref="AU22:AU29" si="42">ROUND(N22/(AK22/5),0)</f>
        <v>0</v>
      </c>
      <c r="AV22" s="90">
        <f t="shared" ref="AV22:AV29" si="43">ROUND(Q22/(AL22/5),0)</f>
        <v>0</v>
      </c>
      <c r="AW22" s="90">
        <f t="shared" ref="AW22:AW29" si="44">ROUND(T22/(AM22/5),0)</f>
        <v>0</v>
      </c>
      <c r="AX22" s="90">
        <f t="shared" ref="AX22" si="45">ROUND(W22/(AN22/5),0)</f>
        <v>0</v>
      </c>
      <c r="AY22" s="90">
        <f t="shared" ref="AY22:AY29" si="46">ROUND(Z22/(AO22/5),0)</f>
        <v>0</v>
      </c>
      <c r="AZ22" s="90">
        <f t="shared" ref="AZ22:AZ29" si="47">ROUND(AC22/(AP22/5),0)</f>
        <v>0</v>
      </c>
      <c r="BA22" s="91">
        <f t="shared" ref="BA22:BA29" si="48">ROUND(AF22/(AQ22/5),0)</f>
        <v>0</v>
      </c>
    </row>
    <row r="23" spans="1:53" x14ac:dyDescent="0.3">
      <c r="A23" s="184" t="s">
        <v>15</v>
      </c>
      <c r="B23" s="94"/>
      <c r="C23" s="94"/>
      <c r="D23" s="104"/>
      <c r="E23" s="96"/>
      <c r="F23" s="97"/>
      <c r="G23" s="95"/>
      <c r="H23" s="96"/>
      <c r="I23" s="105"/>
      <c r="J23" s="95"/>
      <c r="K23" s="96"/>
      <c r="L23" s="97"/>
      <c r="M23" s="95"/>
      <c r="N23" s="96"/>
      <c r="O23" s="97"/>
      <c r="P23" s="95"/>
      <c r="Q23" s="96"/>
      <c r="R23" s="97"/>
      <c r="S23" s="95"/>
      <c r="T23" s="96"/>
      <c r="U23" s="97"/>
      <c r="V23" s="95"/>
      <c r="W23" s="96"/>
      <c r="X23" s="97"/>
      <c r="Y23" s="95"/>
      <c r="Z23" s="96"/>
      <c r="AA23" s="100"/>
      <c r="AB23" s="95"/>
      <c r="AC23" s="96"/>
      <c r="AD23" s="97"/>
      <c r="AE23" s="95"/>
      <c r="AF23" s="96"/>
      <c r="AG23" s="105"/>
      <c r="AH23" s="231">
        <f>+Janvier!AJ23</f>
        <v>768.21428571428578</v>
      </c>
      <c r="AI23" s="231">
        <f>+Janvier!AK23</f>
        <v>2390.0000000000005</v>
      </c>
      <c r="AJ23" s="231">
        <f>+Janvier!AL23</f>
        <v>1792.5000000000002</v>
      </c>
      <c r="AK23" s="231">
        <f>+Janvier!AM23</f>
        <v>1792.5000000000002</v>
      </c>
      <c r="AL23" s="231">
        <f>+Janvier!AN23</f>
        <v>1086.3636363636365</v>
      </c>
      <c r="AM23" s="231">
        <f>+Janvier!AO23</f>
        <v>672.1875</v>
      </c>
      <c r="AN23" s="231">
        <f>+Janvier!AP23</f>
        <v>1344.375</v>
      </c>
      <c r="AO23" s="231">
        <f>+Janvier!AQ23</f>
        <v>672.1875</v>
      </c>
      <c r="AP23" s="231">
        <f>+Janvier!AR23</f>
        <v>672.1875</v>
      </c>
      <c r="AQ23" s="231">
        <f>+Janvier!AS23</f>
        <v>1195.0000000000002</v>
      </c>
      <c r="AR23" s="90">
        <f t="shared" si="39"/>
        <v>0</v>
      </c>
      <c r="AS23" s="90">
        <f t="shared" si="40"/>
        <v>0</v>
      </c>
      <c r="AT23" s="90">
        <f t="shared" si="41"/>
        <v>0</v>
      </c>
      <c r="AU23" s="90">
        <f t="shared" si="42"/>
        <v>0</v>
      </c>
      <c r="AV23" s="90">
        <f t="shared" si="43"/>
        <v>0</v>
      </c>
      <c r="AW23" s="90">
        <f t="shared" si="44"/>
        <v>0</v>
      </c>
      <c r="AX23" s="90">
        <f>ROUND(W23/(AN23/5),0)</f>
        <v>0</v>
      </c>
      <c r="AY23" s="90">
        <f t="shared" si="46"/>
        <v>0</v>
      </c>
      <c r="AZ23" s="90">
        <f t="shared" si="47"/>
        <v>0</v>
      </c>
      <c r="BA23" s="91">
        <f t="shared" si="48"/>
        <v>0</v>
      </c>
    </row>
    <row r="24" spans="1:53" ht="14.25" customHeight="1" x14ac:dyDescent="0.3">
      <c r="A24" s="184" t="s">
        <v>16</v>
      </c>
      <c r="B24" s="94"/>
      <c r="C24" s="94"/>
      <c r="D24" s="104"/>
      <c r="E24" s="96"/>
      <c r="F24" s="97"/>
      <c r="G24" s="95"/>
      <c r="H24" s="96"/>
      <c r="I24" s="105"/>
      <c r="J24" s="95"/>
      <c r="K24" s="96"/>
      <c r="L24" s="97"/>
      <c r="M24" s="95"/>
      <c r="N24" s="96"/>
      <c r="O24" s="97"/>
      <c r="P24" s="95"/>
      <c r="Q24" s="96"/>
      <c r="R24" s="97"/>
      <c r="S24" s="95"/>
      <c r="T24" s="96"/>
      <c r="U24" s="97"/>
      <c r="V24" s="95"/>
      <c r="W24" s="96"/>
      <c r="X24" s="97"/>
      <c r="Y24" s="95"/>
      <c r="Z24" s="96"/>
      <c r="AA24" s="100"/>
      <c r="AB24" s="95"/>
      <c r="AC24" s="96"/>
      <c r="AD24" s="97"/>
      <c r="AE24" s="95"/>
      <c r="AF24" s="96"/>
      <c r="AG24" s="105"/>
      <c r="AH24" s="231">
        <f>+Janvier!AJ24</f>
        <v>3452.1428571428573</v>
      </c>
      <c r="AI24" s="231">
        <f>+Janvier!AK24</f>
        <v>10740.000000000002</v>
      </c>
      <c r="AJ24" s="231">
        <f>+Janvier!AL24</f>
        <v>8055</v>
      </c>
      <c r="AK24" s="231">
        <f>+Janvier!AM24</f>
        <v>8055</v>
      </c>
      <c r="AL24" s="231">
        <f>+Janvier!AN24</f>
        <v>4881.818181818182</v>
      </c>
      <c r="AM24" s="231">
        <f>+Janvier!AO24</f>
        <v>3020.6250000000005</v>
      </c>
      <c r="AN24" s="231">
        <f>+Janvier!AP24</f>
        <v>6041.2500000000009</v>
      </c>
      <c r="AO24" s="231">
        <f>+Janvier!AQ24</f>
        <v>3020.6250000000005</v>
      </c>
      <c r="AP24" s="231">
        <f>+Janvier!AR24</f>
        <v>3020.6250000000005</v>
      </c>
      <c r="AQ24" s="231">
        <f>+Janvier!AS24</f>
        <v>5370.0000000000009</v>
      </c>
      <c r="AR24" s="90">
        <f t="shared" si="39"/>
        <v>0</v>
      </c>
      <c r="AS24" s="90">
        <f t="shared" si="40"/>
        <v>0</v>
      </c>
      <c r="AT24" s="90">
        <f t="shared" si="41"/>
        <v>0</v>
      </c>
      <c r="AU24" s="90">
        <f t="shared" si="42"/>
        <v>0</v>
      </c>
      <c r="AV24" s="90">
        <f t="shared" si="43"/>
        <v>0</v>
      </c>
      <c r="AW24" s="90">
        <f>ROUND(T24/(AM24/5),0)</f>
        <v>0</v>
      </c>
      <c r="AX24" s="90">
        <f t="shared" ref="AX24:AX29" si="49">ROUND(W24/(AN24/5),0)</f>
        <v>0</v>
      </c>
      <c r="AY24" s="90">
        <f t="shared" si="46"/>
        <v>0</v>
      </c>
      <c r="AZ24" s="90">
        <f t="shared" si="47"/>
        <v>0</v>
      </c>
      <c r="BA24" s="91">
        <f t="shared" si="48"/>
        <v>0</v>
      </c>
    </row>
    <row r="25" spans="1:53" ht="14.25" customHeight="1" x14ac:dyDescent="0.3">
      <c r="A25" s="184" t="s">
        <v>17</v>
      </c>
      <c r="B25" s="94"/>
      <c r="C25" s="94"/>
      <c r="D25" s="104"/>
      <c r="E25" s="96"/>
      <c r="F25" s="97"/>
      <c r="G25" s="95"/>
      <c r="H25" s="96"/>
      <c r="I25" s="105"/>
      <c r="J25" s="95"/>
      <c r="K25" s="96"/>
      <c r="L25" s="97"/>
      <c r="M25" s="95"/>
      <c r="N25" s="96"/>
      <c r="O25" s="97"/>
      <c r="P25" s="95"/>
      <c r="Q25" s="96"/>
      <c r="R25" s="97"/>
      <c r="S25" s="95"/>
      <c r="T25" s="96"/>
      <c r="U25" s="97"/>
      <c r="V25" s="95"/>
      <c r="W25" s="96"/>
      <c r="X25" s="97"/>
      <c r="Y25" s="95"/>
      <c r="Z25" s="96"/>
      <c r="AA25" s="100"/>
      <c r="AB25" s="95"/>
      <c r="AC25" s="96"/>
      <c r="AD25" s="97"/>
      <c r="AE25" s="95"/>
      <c r="AF25" s="96"/>
      <c r="AG25" s="105"/>
      <c r="AH25" s="231">
        <f>+Janvier!AJ25</f>
        <v>3638.3241758241757</v>
      </c>
      <c r="AI25" s="231">
        <f>+Janvier!AK25</f>
        <v>11319.23076923077</v>
      </c>
      <c r="AJ25" s="231">
        <f>+Janvier!AL25</f>
        <v>8489.423076923078</v>
      </c>
      <c r="AK25" s="231">
        <f>+Janvier!AM25</f>
        <v>8489.423076923078</v>
      </c>
      <c r="AL25" s="231">
        <f>+Janvier!AN25</f>
        <v>5145.1048951048951</v>
      </c>
      <c r="AM25" s="231">
        <f>+Janvier!AO25</f>
        <v>3183.5336538461534</v>
      </c>
      <c r="AN25" s="231">
        <f>+Janvier!AP25</f>
        <v>6367.0673076923067</v>
      </c>
      <c r="AO25" s="231">
        <f>+Janvier!AQ25</f>
        <v>3183.5336538461534</v>
      </c>
      <c r="AP25" s="231">
        <f>+Janvier!AR25</f>
        <v>3183.5336538461534</v>
      </c>
      <c r="AQ25" s="231">
        <f>+Janvier!AS25</f>
        <v>5659.6153846153848</v>
      </c>
      <c r="AR25" s="90">
        <f t="shared" si="39"/>
        <v>0</v>
      </c>
      <c r="AS25" s="90">
        <f t="shared" si="40"/>
        <v>0</v>
      </c>
      <c r="AT25" s="90">
        <f t="shared" si="41"/>
        <v>0</v>
      </c>
      <c r="AU25" s="90">
        <f t="shared" si="42"/>
        <v>0</v>
      </c>
      <c r="AV25" s="90">
        <f>ROUND(Q25/(AL25/5),0)</f>
        <v>0</v>
      </c>
      <c r="AW25" s="90">
        <f t="shared" si="44"/>
        <v>0</v>
      </c>
      <c r="AX25" s="90">
        <f t="shared" si="49"/>
        <v>0</v>
      </c>
      <c r="AY25" s="90">
        <f t="shared" si="46"/>
        <v>0</v>
      </c>
      <c r="AZ25" s="90">
        <f t="shared" si="47"/>
        <v>0</v>
      </c>
      <c r="BA25" s="91">
        <f t="shared" si="48"/>
        <v>0</v>
      </c>
    </row>
    <row r="26" spans="1:53" ht="14.25" customHeight="1" x14ac:dyDescent="0.3">
      <c r="A26" s="184" t="s">
        <v>18</v>
      </c>
      <c r="B26" s="94"/>
      <c r="C26" s="94"/>
      <c r="D26" s="104"/>
      <c r="E26" s="96"/>
      <c r="F26" s="97"/>
      <c r="G26" s="95"/>
      <c r="H26" s="96"/>
      <c r="I26" s="105"/>
      <c r="J26" s="95"/>
      <c r="K26" s="96"/>
      <c r="L26" s="97"/>
      <c r="M26" s="95"/>
      <c r="N26" s="96"/>
      <c r="O26" s="97"/>
      <c r="P26" s="95"/>
      <c r="Q26" s="96"/>
      <c r="R26" s="97"/>
      <c r="S26" s="95"/>
      <c r="T26" s="96"/>
      <c r="U26" s="97"/>
      <c r="V26" s="95"/>
      <c r="W26" s="96"/>
      <c r="X26" s="97"/>
      <c r="Y26" s="95"/>
      <c r="Z26" s="96"/>
      <c r="AA26" s="100"/>
      <c r="AB26" s="95"/>
      <c r="AC26" s="96"/>
      <c r="AD26" s="97"/>
      <c r="AE26" s="95"/>
      <c r="AF26" s="96"/>
      <c r="AG26" s="105"/>
      <c r="AH26" s="231">
        <f>+Janvier!AJ26</f>
        <v>723.70879120879124</v>
      </c>
      <c r="AI26" s="231">
        <f>+Janvier!AK26</f>
        <v>2251.5384615384619</v>
      </c>
      <c r="AJ26" s="231">
        <f>+Janvier!AL26</f>
        <v>1688.6538461538464</v>
      </c>
      <c r="AK26" s="231">
        <f>+Janvier!AM26</f>
        <v>1688.6538461538464</v>
      </c>
      <c r="AL26" s="231">
        <f>+Janvier!AN26</f>
        <v>1023.4265734265737</v>
      </c>
      <c r="AM26" s="231">
        <f>+Janvier!AO26</f>
        <v>633.24519230769238</v>
      </c>
      <c r="AN26" s="231">
        <f>+Janvier!AP26</f>
        <v>1266.4903846153848</v>
      </c>
      <c r="AO26" s="231">
        <f>+Janvier!AQ26</f>
        <v>633.24519230769238</v>
      </c>
      <c r="AP26" s="231">
        <f>+Janvier!AR26</f>
        <v>633.24519230769238</v>
      </c>
      <c r="AQ26" s="231">
        <f>+Janvier!AS26</f>
        <v>1125.7692307692309</v>
      </c>
      <c r="AR26" s="90">
        <f t="shared" si="39"/>
        <v>0</v>
      </c>
      <c r="AS26" s="90">
        <f t="shared" si="40"/>
        <v>0</v>
      </c>
      <c r="AT26" s="90">
        <f t="shared" si="41"/>
        <v>0</v>
      </c>
      <c r="AU26" s="90">
        <f t="shared" si="42"/>
        <v>0</v>
      </c>
      <c r="AV26" s="90">
        <f t="shared" si="43"/>
        <v>0</v>
      </c>
      <c r="AW26" s="90">
        <f t="shared" si="44"/>
        <v>0</v>
      </c>
      <c r="AX26" s="90">
        <f t="shared" si="49"/>
        <v>0</v>
      </c>
      <c r="AY26" s="90">
        <f t="shared" si="46"/>
        <v>0</v>
      </c>
      <c r="AZ26" s="90">
        <f t="shared" si="47"/>
        <v>0</v>
      </c>
      <c r="BA26" s="91">
        <f t="shared" si="48"/>
        <v>0</v>
      </c>
    </row>
    <row r="27" spans="1:53" ht="14.25" customHeight="1" x14ac:dyDescent="0.3">
      <c r="A27" s="184" t="s">
        <v>19</v>
      </c>
      <c r="B27" s="94"/>
      <c r="C27" s="94"/>
      <c r="D27" s="104"/>
      <c r="E27" s="96"/>
      <c r="F27" s="97"/>
      <c r="G27" s="95"/>
      <c r="H27" s="96"/>
      <c r="I27" s="105"/>
      <c r="J27" s="95"/>
      <c r="K27" s="96"/>
      <c r="L27" s="97"/>
      <c r="M27" s="95"/>
      <c r="N27" s="96"/>
      <c r="O27" s="97"/>
      <c r="P27" s="95"/>
      <c r="Q27" s="96"/>
      <c r="R27" s="97"/>
      <c r="S27" s="95"/>
      <c r="T27" s="96"/>
      <c r="U27" s="97"/>
      <c r="V27" s="95"/>
      <c r="W27" s="96"/>
      <c r="X27" s="97"/>
      <c r="Y27" s="95"/>
      <c r="Z27" s="96"/>
      <c r="AA27" s="100"/>
      <c r="AB27" s="95"/>
      <c r="AC27" s="96"/>
      <c r="AD27" s="97"/>
      <c r="AE27" s="95"/>
      <c r="AF27" s="96"/>
      <c r="AG27" s="105"/>
      <c r="AH27" s="231">
        <f>+Janvier!AJ27</f>
        <v>1833.75</v>
      </c>
      <c r="AI27" s="231">
        <f>+Janvier!AK27</f>
        <v>5705.0000000000009</v>
      </c>
      <c r="AJ27" s="231">
        <f>+Janvier!AL27</f>
        <v>4278.7500000000009</v>
      </c>
      <c r="AK27" s="231">
        <f>+Janvier!AM27</f>
        <v>4278.7500000000009</v>
      </c>
      <c r="AL27" s="231">
        <f>+Janvier!AN27</f>
        <v>2593.1818181818189</v>
      </c>
      <c r="AM27" s="231">
        <f>+Janvier!AO27</f>
        <v>1604.53125</v>
      </c>
      <c r="AN27" s="231">
        <f>+Janvier!AP27</f>
        <v>3209.0625</v>
      </c>
      <c r="AO27" s="231">
        <f>+Janvier!AQ27</f>
        <v>1604.53125</v>
      </c>
      <c r="AP27" s="231">
        <f>+Janvier!AR27</f>
        <v>1604.53125</v>
      </c>
      <c r="AQ27" s="231">
        <f>+Janvier!AS27</f>
        <v>2852.5000000000005</v>
      </c>
      <c r="AR27" s="90">
        <f t="shared" si="39"/>
        <v>0</v>
      </c>
      <c r="AS27" s="90">
        <f t="shared" si="40"/>
        <v>0</v>
      </c>
      <c r="AT27" s="90">
        <f t="shared" si="41"/>
        <v>0</v>
      </c>
      <c r="AU27" s="90">
        <f t="shared" si="42"/>
        <v>0</v>
      </c>
      <c r="AV27" s="90">
        <f t="shared" si="43"/>
        <v>0</v>
      </c>
      <c r="AW27" s="90">
        <f t="shared" si="44"/>
        <v>0</v>
      </c>
      <c r="AX27" s="90">
        <f t="shared" si="49"/>
        <v>0</v>
      </c>
      <c r="AY27" s="90">
        <f t="shared" si="46"/>
        <v>0</v>
      </c>
      <c r="AZ27" s="90">
        <f t="shared" si="47"/>
        <v>0</v>
      </c>
      <c r="BA27" s="91">
        <f t="shared" si="48"/>
        <v>0</v>
      </c>
    </row>
    <row r="28" spans="1:53" ht="14.25" customHeight="1" x14ac:dyDescent="0.3">
      <c r="A28" s="184" t="s">
        <v>20</v>
      </c>
      <c r="B28" s="94"/>
      <c r="C28" s="94"/>
      <c r="D28" s="104"/>
      <c r="E28" s="96"/>
      <c r="F28" s="97"/>
      <c r="G28" s="95"/>
      <c r="H28" s="96"/>
      <c r="I28" s="105"/>
      <c r="J28" s="95"/>
      <c r="K28" s="96"/>
      <c r="L28" s="97"/>
      <c r="M28" s="95"/>
      <c r="N28" s="96"/>
      <c r="O28" s="97"/>
      <c r="P28" s="95"/>
      <c r="Q28" s="96"/>
      <c r="R28" s="97"/>
      <c r="S28" s="95"/>
      <c r="T28" s="96"/>
      <c r="U28" s="97"/>
      <c r="V28" s="95"/>
      <c r="W28" s="96"/>
      <c r="X28" s="97"/>
      <c r="Y28" s="95"/>
      <c r="Z28" s="96"/>
      <c r="AA28" s="100"/>
      <c r="AB28" s="95"/>
      <c r="AC28" s="96"/>
      <c r="AD28" s="97"/>
      <c r="AE28" s="95"/>
      <c r="AF28" s="96"/>
      <c r="AG28" s="105"/>
      <c r="AH28" s="231">
        <f>+Janvier!AJ28</f>
        <v>1230.2060439560439</v>
      </c>
      <c r="AI28" s="231">
        <f>+Janvier!AK28</f>
        <v>3827.3076923076924</v>
      </c>
      <c r="AJ28" s="231">
        <f>+Janvier!AL28</f>
        <v>2870.4807692307691</v>
      </c>
      <c r="AK28" s="231">
        <f>+Janvier!AM28</f>
        <v>2870.4807692307691</v>
      </c>
      <c r="AL28" s="231">
        <f>+Janvier!AN28</f>
        <v>1739.6853146853146</v>
      </c>
      <c r="AM28" s="231">
        <f>+Janvier!AO28</f>
        <v>1076.4302884615383</v>
      </c>
      <c r="AN28" s="231">
        <f>+Janvier!AP28</f>
        <v>2152.8605769230767</v>
      </c>
      <c r="AO28" s="231">
        <f>+Janvier!AQ28</f>
        <v>1076.4302884615383</v>
      </c>
      <c r="AP28" s="231">
        <f>+Janvier!AR28</f>
        <v>1076.4302884615383</v>
      </c>
      <c r="AQ28" s="231">
        <f>+Janvier!AS28</f>
        <v>1913.6538461538462</v>
      </c>
      <c r="AR28" s="90">
        <f t="shared" si="39"/>
        <v>0</v>
      </c>
      <c r="AS28" s="90">
        <f t="shared" si="40"/>
        <v>0</v>
      </c>
      <c r="AT28" s="90">
        <f t="shared" si="41"/>
        <v>0</v>
      </c>
      <c r="AU28" s="90">
        <f t="shared" si="42"/>
        <v>0</v>
      </c>
      <c r="AV28" s="90">
        <f t="shared" si="43"/>
        <v>0</v>
      </c>
      <c r="AW28" s="90">
        <f t="shared" si="44"/>
        <v>0</v>
      </c>
      <c r="AX28" s="90">
        <f t="shared" si="49"/>
        <v>0</v>
      </c>
      <c r="AY28" s="90">
        <f t="shared" si="46"/>
        <v>0</v>
      </c>
      <c r="AZ28" s="90">
        <f t="shared" si="47"/>
        <v>0</v>
      </c>
      <c r="BA28" s="91">
        <f t="shared" si="48"/>
        <v>0</v>
      </c>
    </row>
    <row r="29" spans="1:53" ht="15" thickBot="1" x14ac:dyDescent="0.35">
      <c r="A29" s="121" t="s">
        <v>79</v>
      </c>
      <c r="B29" s="143"/>
      <c r="C29" s="143"/>
      <c r="D29" s="161"/>
      <c r="E29" s="109"/>
      <c r="F29" s="110"/>
      <c r="G29" s="111"/>
      <c r="H29" s="109"/>
      <c r="I29" s="112"/>
      <c r="J29" s="111"/>
      <c r="K29" s="109"/>
      <c r="L29" s="110"/>
      <c r="M29" s="111"/>
      <c r="N29" s="109"/>
      <c r="O29" s="110"/>
      <c r="P29" s="111"/>
      <c r="Q29" s="109"/>
      <c r="R29" s="110"/>
      <c r="S29" s="111"/>
      <c r="T29" s="109"/>
      <c r="U29" s="110"/>
      <c r="V29" s="111"/>
      <c r="W29" s="109"/>
      <c r="X29" s="110"/>
      <c r="Y29" s="111"/>
      <c r="Z29" s="109"/>
      <c r="AA29" s="162"/>
      <c r="AB29" s="111"/>
      <c r="AC29" s="109"/>
      <c r="AD29" s="110"/>
      <c r="AE29" s="111"/>
      <c r="AF29" s="109"/>
      <c r="AG29" s="112"/>
      <c r="AH29" s="231">
        <f>+Janvier!AJ29</f>
        <v>1892.3489010989013</v>
      </c>
      <c r="AI29" s="231">
        <f>+Janvier!AK29</f>
        <v>5887.3076923076933</v>
      </c>
      <c r="AJ29" s="231">
        <f>+Janvier!AL29</f>
        <v>4415.4807692307704</v>
      </c>
      <c r="AK29" s="231">
        <f>+Janvier!AM29</f>
        <v>4415.4807692307704</v>
      </c>
      <c r="AL29" s="231">
        <f>+Janvier!AN29</f>
        <v>2676.0489510489515</v>
      </c>
      <c r="AM29" s="231">
        <f>+Janvier!AO29</f>
        <v>1655.8052884615383</v>
      </c>
      <c r="AN29" s="231">
        <f>+Janvier!AP29</f>
        <v>3311.6105769230767</v>
      </c>
      <c r="AO29" s="231">
        <f>+Janvier!AQ29</f>
        <v>1655.8052884615383</v>
      </c>
      <c r="AP29" s="231">
        <f>+Janvier!AR29</f>
        <v>1655.8052884615383</v>
      </c>
      <c r="AQ29" s="231">
        <f>+Janvier!AS29</f>
        <v>2943.6538461538466</v>
      </c>
      <c r="AR29" s="92">
        <f t="shared" si="39"/>
        <v>0</v>
      </c>
      <c r="AS29" s="92">
        <f t="shared" si="40"/>
        <v>0</v>
      </c>
      <c r="AT29" s="92">
        <f t="shared" si="41"/>
        <v>0</v>
      </c>
      <c r="AU29" s="92">
        <f t="shared" si="42"/>
        <v>0</v>
      </c>
      <c r="AV29" s="92">
        <f t="shared" si="43"/>
        <v>0</v>
      </c>
      <c r="AW29" s="92">
        <f t="shared" si="44"/>
        <v>0</v>
      </c>
      <c r="AX29" s="92">
        <f t="shared" si="49"/>
        <v>0</v>
      </c>
      <c r="AY29" s="92">
        <f t="shared" si="46"/>
        <v>0</v>
      </c>
      <c r="AZ29" s="92">
        <f t="shared" si="47"/>
        <v>0</v>
      </c>
      <c r="BA29" s="93">
        <f t="shared" si="48"/>
        <v>0</v>
      </c>
    </row>
    <row r="30" spans="1:53" ht="15" thickBot="1" x14ac:dyDescent="0.35">
      <c r="A30" s="140" t="s">
        <v>84</v>
      </c>
      <c r="B30" s="160"/>
      <c r="C30" s="160"/>
      <c r="D30" s="163"/>
      <c r="E30" s="163"/>
      <c r="F30" s="124"/>
      <c r="G30" s="254"/>
      <c r="H30" s="163"/>
      <c r="I30" s="124"/>
      <c r="J30" s="253"/>
      <c r="K30" s="163"/>
      <c r="L30" s="124"/>
      <c r="M30" s="163"/>
      <c r="N30" s="163"/>
      <c r="O30" s="124"/>
      <c r="P30" s="163"/>
      <c r="Q30" s="163"/>
      <c r="R30" s="124"/>
      <c r="S30" s="163"/>
      <c r="T30" s="163"/>
      <c r="U30" s="124"/>
      <c r="V30" s="163"/>
      <c r="W30" s="163"/>
      <c r="X30" s="124"/>
      <c r="Y30" s="163"/>
      <c r="Z30" s="163"/>
      <c r="AA30" s="115"/>
      <c r="AB30" s="163"/>
      <c r="AC30" s="163"/>
      <c r="AD30" s="124"/>
      <c r="AE30" s="163"/>
      <c r="AF30" s="163"/>
      <c r="AG30" s="126"/>
      <c r="AH30" s="231">
        <f>+Janvier!AJ30</f>
        <v>84811.691250000003</v>
      </c>
      <c r="AI30" s="231">
        <f>+Janvier!AK30</f>
        <v>294602.45192307694</v>
      </c>
      <c r="AJ30" s="231">
        <f>+Janvier!AL30</f>
        <v>196205.23298076927</v>
      </c>
      <c r="AK30" s="231">
        <f>+Janvier!AM30</f>
        <v>196205.23298076927</v>
      </c>
      <c r="AL30" s="231">
        <f>+Janvier!AN30</f>
        <v>123733.02980769234</v>
      </c>
      <c r="AM30" s="231">
        <f>+Janvier!AO30</f>
        <v>73650.612980769234</v>
      </c>
      <c r="AN30" s="231">
        <f>+Janvier!AP30</f>
        <v>147301.22596153847</v>
      </c>
      <c r="AO30" s="231">
        <f>+Janvier!AQ30</f>
        <v>73650.612980769234</v>
      </c>
      <c r="AP30" s="231">
        <f>+Janvier!AR30</f>
        <v>73650.612980769234</v>
      </c>
      <c r="AQ30" s="231">
        <f>+Janvier!AS30</f>
        <v>131665.70250000001</v>
      </c>
      <c r="AR30" s="90">
        <f>ROUND(E30/(AH30/15),0)</f>
        <v>0</v>
      </c>
      <c r="AS30" s="90">
        <f t="shared" ref="AS30" si="50">ROUND(H30/(AI30/15),0)</f>
        <v>0</v>
      </c>
      <c r="AT30" s="90">
        <f t="shared" ref="AT30" si="51">ROUND(K30/(AJ30/15),0)</f>
        <v>0</v>
      </c>
      <c r="AU30" s="90">
        <f t="shared" ref="AU30" si="52">ROUND(N30/(AK30/15),0)</f>
        <v>0</v>
      </c>
      <c r="AV30" s="90">
        <f t="shared" ref="AV30" si="53">ROUND(Q30/(AL30/15),0)</f>
        <v>0</v>
      </c>
      <c r="AW30" s="90">
        <f t="shared" ref="AW30" si="54">ROUND(T30/(AM30/15),0)</f>
        <v>0</v>
      </c>
      <c r="AX30" s="90">
        <f t="shared" ref="AX30" si="55">ROUND(W30/(AN30/15),0)</f>
        <v>0</v>
      </c>
      <c r="AY30" s="90">
        <f t="shared" ref="AY30" si="56">ROUND(Z30/(AO30/15),0)</f>
        <v>0</v>
      </c>
      <c r="AZ30" s="90">
        <f t="shared" ref="AZ30" si="57">ROUND(AC30/(AP30/15),0)</f>
        <v>0</v>
      </c>
      <c r="BA30" s="91">
        <f t="shared" ref="BA30" si="58">ROUND(AF30/(AQ30/15),0)</f>
        <v>0</v>
      </c>
    </row>
    <row r="31" spans="1:53" ht="15" thickBot="1" x14ac:dyDescent="0.35">
      <c r="A31" s="184" t="s">
        <v>35</v>
      </c>
      <c r="B31" s="160"/>
      <c r="C31" s="94"/>
      <c r="D31" s="106"/>
      <c r="E31" s="106"/>
      <c r="F31" s="97"/>
      <c r="G31" s="116"/>
      <c r="H31" s="106"/>
      <c r="I31" s="97"/>
      <c r="J31" s="236"/>
      <c r="K31" s="106"/>
      <c r="L31" s="97"/>
      <c r="M31" s="106"/>
      <c r="N31" s="106"/>
      <c r="O31" s="97"/>
      <c r="P31" s="106"/>
      <c r="Q31" s="106"/>
      <c r="R31" s="97"/>
      <c r="S31" s="106"/>
      <c r="T31" s="106"/>
      <c r="U31" s="97"/>
      <c r="V31" s="106"/>
      <c r="W31" s="106"/>
      <c r="X31" s="97"/>
      <c r="Y31" s="106"/>
      <c r="Z31" s="106"/>
      <c r="AA31" s="100"/>
      <c r="AB31" s="106"/>
      <c r="AC31" s="106"/>
      <c r="AD31" s="97"/>
      <c r="AE31" s="106"/>
      <c r="AF31" s="106"/>
      <c r="AG31" s="105"/>
      <c r="AH31" s="231">
        <f>+Janvier!AJ31</f>
        <v>2028.8324175824175</v>
      </c>
      <c r="AI31" s="231">
        <f>+Janvier!AK31</f>
        <v>6311.9230769230771</v>
      </c>
      <c r="AJ31" s="231">
        <f>+Janvier!AL31</f>
        <v>4733.9423076923076</v>
      </c>
      <c r="AK31" s="231">
        <f>+Janvier!AM31</f>
        <v>4733.9423076923076</v>
      </c>
      <c r="AL31" s="231">
        <f>+Janvier!AN31</f>
        <v>2869.0559440559441</v>
      </c>
      <c r="AM31" s="231">
        <f>+Janvier!AO31</f>
        <v>1775.2283653846155</v>
      </c>
      <c r="AN31" s="231">
        <f>+Janvier!AP31</f>
        <v>3550.4567307692309</v>
      </c>
      <c r="AO31" s="231">
        <f>+Janvier!AQ31</f>
        <v>1775.2283653846155</v>
      </c>
      <c r="AP31" s="231">
        <f>+Janvier!AR31</f>
        <v>1775.2283653846155</v>
      </c>
      <c r="AQ31" s="231">
        <f>+Janvier!AS31</f>
        <v>3155.9615384615386</v>
      </c>
      <c r="AR31" s="16">
        <f t="shared" ref="AR31:AR39" si="59">ROUND(E31/(AH31/5),0)</f>
        <v>0</v>
      </c>
      <c r="AS31" s="16">
        <f t="shared" ref="AS31:AS39" si="60">ROUND(H31/(AI31/5),0)</f>
        <v>0</v>
      </c>
      <c r="AT31" s="16">
        <f t="shared" ref="AT31:AT39" si="61">ROUND(K31/(AJ31/5),0)</f>
        <v>0</v>
      </c>
      <c r="AU31" s="16">
        <f t="shared" ref="AU31:AU39" si="62">ROUND(N31/(AK31/5),0)</f>
        <v>0</v>
      </c>
      <c r="AV31" s="16">
        <f t="shared" ref="AV31:AV39" si="63">ROUND(Q31/(AL31/5),0)</f>
        <v>0</v>
      </c>
      <c r="AW31" s="16">
        <f t="shared" ref="AW31:AW39" si="64">ROUND(T31/(AM31/5),0)</f>
        <v>0</v>
      </c>
      <c r="AX31" s="16">
        <f t="shared" ref="AX31:AX39" si="65">ROUND(W31/(AN31/5),0)</f>
        <v>0</v>
      </c>
      <c r="AY31" s="16">
        <f t="shared" ref="AY31:AY39" si="66">ROUND(Z31/(AO31/5),0)</f>
        <v>0</v>
      </c>
      <c r="AZ31" s="16">
        <f t="shared" ref="AZ31:AZ39" si="67">ROUND(AC31/(AP31/5),0)</f>
        <v>0</v>
      </c>
      <c r="BA31" s="17">
        <f t="shared" ref="BA31:BA39" si="68">ROUND(AF31/(AQ31/5),0)</f>
        <v>0</v>
      </c>
    </row>
    <row r="32" spans="1:53" ht="15" thickBot="1" x14ac:dyDescent="0.35">
      <c r="A32" s="184" t="s">
        <v>36</v>
      </c>
      <c r="B32" s="160"/>
      <c r="C32" s="94"/>
      <c r="D32" s="106"/>
      <c r="E32" s="96"/>
      <c r="F32" s="97"/>
      <c r="G32" s="116"/>
      <c r="H32" s="96"/>
      <c r="I32" s="97"/>
      <c r="J32" s="236"/>
      <c r="K32" s="96"/>
      <c r="L32" s="97"/>
      <c r="M32" s="106"/>
      <c r="N32" s="96"/>
      <c r="O32" s="97"/>
      <c r="P32" s="106"/>
      <c r="Q32" s="96"/>
      <c r="R32" s="97"/>
      <c r="S32" s="106"/>
      <c r="T32" s="96"/>
      <c r="U32" s="97"/>
      <c r="V32" s="106"/>
      <c r="W32" s="96"/>
      <c r="X32" s="97"/>
      <c r="Y32" s="106"/>
      <c r="Z32" s="96"/>
      <c r="AA32" s="100"/>
      <c r="AB32" s="106"/>
      <c r="AC32" s="96"/>
      <c r="AD32" s="97"/>
      <c r="AE32" s="106"/>
      <c r="AF32" s="96"/>
      <c r="AG32" s="105"/>
      <c r="AH32" s="231">
        <f>+Janvier!AJ32</f>
        <v>431.0851648351649</v>
      </c>
      <c r="AI32" s="231">
        <f>+Janvier!AK32</f>
        <v>1341.1538461538464</v>
      </c>
      <c r="AJ32" s="231">
        <f>+Janvier!AL32</f>
        <v>1005.8653846153848</v>
      </c>
      <c r="AK32" s="231">
        <f>+Janvier!AM32</f>
        <v>1005.8653846153848</v>
      </c>
      <c r="AL32" s="231">
        <f>+Janvier!AN32</f>
        <v>609.61538461538464</v>
      </c>
      <c r="AM32" s="231">
        <f>+Janvier!AO32</f>
        <v>377.19951923076917</v>
      </c>
      <c r="AN32" s="231">
        <f>+Janvier!AP32</f>
        <v>754.39903846153834</v>
      </c>
      <c r="AO32" s="231">
        <f>+Janvier!AQ32</f>
        <v>377.19951923076917</v>
      </c>
      <c r="AP32" s="231">
        <f>+Janvier!AR32</f>
        <v>377.19951923076917</v>
      </c>
      <c r="AQ32" s="231">
        <f>+Janvier!AS32</f>
        <v>670.57692307692321</v>
      </c>
      <c r="AR32" s="16">
        <f t="shared" si="59"/>
        <v>0</v>
      </c>
      <c r="AS32" s="16">
        <f t="shared" si="60"/>
        <v>0</v>
      </c>
      <c r="AT32" s="16">
        <f t="shared" si="61"/>
        <v>0</v>
      </c>
      <c r="AU32" s="16">
        <f t="shared" si="62"/>
        <v>0</v>
      </c>
      <c r="AV32" s="16">
        <f t="shared" si="63"/>
        <v>0</v>
      </c>
      <c r="AW32" s="16">
        <f t="shared" si="64"/>
        <v>0</v>
      </c>
      <c r="AX32" s="16">
        <f t="shared" si="65"/>
        <v>0</v>
      </c>
      <c r="AY32" s="16">
        <f t="shared" si="66"/>
        <v>0</v>
      </c>
      <c r="AZ32" s="16">
        <f t="shared" si="67"/>
        <v>0</v>
      </c>
      <c r="BA32" s="17">
        <f t="shared" si="68"/>
        <v>0</v>
      </c>
    </row>
    <row r="33" spans="1:53" ht="15" thickBot="1" x14ac:dyDescent="0.35">
      <c r="A33" s="184" t="s">
        <v>37</v>
      </c>
      <c r="B33" s="160"/>
      <c r="C33" s="94"/>
      <c r="D33" s="106"/>
      <c r="E33" s="106"/>
      <c r="F33" s="97"/>
      <c r="G33" s="116"/>
      <c r="H33" s="106"/>
      <c r="I33" s="97"/>
      <c r="J33" s="236"/>
      <c r="K33" s="106"/>
      <c r="L33" s="97"/>
      <c r="M33" s="106"/>
      <c r="N33" s="106"/>
      <c r="O33" s="97"/>
      <c r="P33" s="106"/>
      <c r="Q33" s="106"/>
      <c r="R33" s="97"/>
      <c r="S33" s="106"/>
      <c r="T33" s="106"/>
      <c r="U33" s="97"/>
      <c r="V33" s="106"/>
      <c r="W33" s="106"/>
      <c r="X33" s="97"/>
      <c r="Y33" s="106"/>
      <c r="Z33" s="106"/>
      <c r="AA33" s="100"/>
      <c r="AB33" s="106"/>
      <c r="AC33" s="106"/>
      <c r="AD33" s="97"/>
      <c r="AE33" s="106"/>
      <c r="AF33" s="106"/>
      <c r="AG33" s="105"/>
      <c r="AH33" s="231">
        <f>+Janvier!AJ33</f>
        <v>5199.2307692307695</v>
      </c>
      <c r="AI33" s="231">
        <f>+Janvier!AK33</f>
        <v>16175.384615384613</v>
      </c>
      <c r="AJ33" s="231">
        <f>+Janvier!AL33</f>
        <v>12131.538461538461</v>
      </c>
      <c r="AK33" s="231">
        <f>+Janvier!AM33</f>
        <v>12131.538461538461</v>
      </c>
      <c r="AL33" s="231">
        <f>+Janvier!AN33</f>
        <v>7352.4475524475547</v>
      </c>
      <c r="AM33" s="231">
        <f>+Janvier!AO33</f>
        <v>4549.3269230769229</v>
      </c>
      <c r="AN33" s="231">
        <f>+Janvier!AP33</f>
        <v>9098.6538461538457</v>
      </c>
      <c r="AO33" s="231">
        <f>+Janvier!AQ33</f>
        <v>4549.3269230769229</v>
      </c>
      <c r="AP33" s="231">
        <f>+Janvier!AR33</f>
        <v>4549.3269230769229</v>
      </c>
      <c r="AQ33" s="231">
        <f>+Janvier!AS33</f>
        <v>8087.6923076923067</v>
      </c>
      <c r="AR33" s="16">
        <f t="shared" si="59"/>
        <v>0</v>
      </c>
      <c r="AS33" s="16">
        <f t="shared" si="60"/>
        <v>0</v>
      </c>
      <c r="AT33" s="16">
        <f t="shared" si="61"/>
        <v>0</v>
      </c>
      <c r="AU33" s="16">
        <f t="shared" si="62"/>
        <v>0</v>
      </c>
      <c r="AV33" s="16">
        <f t="shared" si="63"/>
        <v>0</v>
      </c>
      <c r="AW33" s="16">
        <f t="shared" si="64"/>
        <v>0</v>
      </c>
      <c r="AX33" s="16">
        <f t="shared" si="65"/>
        <v>0</v>
      </c>
      <c r="AY33" s="16">
        <f t="shared" si="66"/>
        <v>0</v>
      </c>
      <c r="AZ33" s="16">
        <f t="shared" si="67"/>
        <v>0</v>
      </c>
      <c r="BA33" s="17">
        <f t="shared" si="68"/>
        <v>0</v>
      </c>
    </row>
    <row r="34" spans="1:53" ht="15" thickBot="1" x14ac:dyDescent="0.35">
      <c r="A34" s="184" t="s">
        <v>38</v>
      </c>
      <c r="B34" s="160"/>
      <c r="C34" s="94"/>
      <c r="D34" s="106"/>
      <c r="E34" s="106"/>
      <c r="F34" s="97"/>
      <c r="G34" s="116"/>
      <c r="H34" s="106"/>
      <c r="I34" s="97"/>
      <c r="J34" s="236"/>
      <c r="K34" s="106"/>
      <c r="L34" s="97"/>
      <c r="M34" s="106"/>
      <c r="N34" s="106"/>
      <c r="O34" s="97"/>
      <c r="P34" s="106"/>
      <c r="Q34" s="106"/>
      <c r="R34" s="97"/>
      <c r="S34" s="106"/>
      <c r="T34" s="106"/>
      <c r="U34" s="97"/>
      <c r="V34" s="106"/>
      <c r="W34" s="106"/>
      <c r="X34" s="97"/>
      <c r="Y34" s="106"/>
      <c r="Z34" s="106"/>
      <c r="AA34" s="100"/>
      <c r="AB34" s="106"/>
      <c r="AC34" s="106"/>
      <c r="AD34" s="97"/>
      <c r="AE34" s="106"/>
      <c r="AF34" s="106"/>
      <c r="AG34" s="105"/>
      <c r="AH34" s="231">
        <f>+Janvier!AJ34</f>
        <v>1323.9148351648353</v>
      </c>
      <c r="AI34" s="231">
        <f>+Janvier!AK34</f>
        <v>4118.8461538461534</v>
      </c>
      <c r="AJ34" s="231">
        <f>+Janvier!AL34</f>
        <v>3089.1346153846152</v>
      </c>
      <c r="AK34" s="231">
        <f>+Janvier!AM34</f>
        <v>3089.1346153846152</v>
      </c>
      <c r="AL34" s="231">
        <f>+Janvier!AN34</f>
        <v>1872.2027972027972</v>
      </c>
      <c r="AM34" s="231">
        <f>+Janvier!AO34</f>
        <v>1158.4254807692307</v>
      </c>
      <c r="AN34" s="231">
        <f>+Janvier!AP34</f>
        <v>2316.8509615384614</v>
      </c>
      <c r="AO34" s="231">
        <f>+Janvier!AQ34</f>
        <v>1158.4254807692307</v>
      </c>
      <c r="AP34" s="231">
        <f>+Janvier!AR34</f>
        <v>1158.4254807692307</v>
      </c>
      <c r="AQ34" s="231">
        <f>+Janvier!AS34</f>
        <v>2059.4230769230767</v>
      </c>
      <c r="AR34" s="16">
        <f t="shared" si="59"/>
        <v>0</v>
      </c>
      <c r="AS34" s="16">
        <f t="shared" si="60"/>
        <v>0</v>
      </c>
      <c r="AT34" s="16">
        <f t="shared" si="61"/>
        <v>0</v>
      </c>
      <c r="AU34" s="16">
        <f t="shared" si="62"/>
        <v>0</v>
      </c>
      <c r="AV34" s="16">
        <f t="shared" si="63"/>
        <v>0</v>
      </c>
      <c r="AW34" s="16">
        <f t="shared" si="64"/>
        <v>0</v>
      </c>
      <c r="AX34" s="16">
        <f t="shared" si="65"/>
        <v>0</v>
      </c>
      <c r="AY34" s="16">
        <f t="shared" si="66"/>
        <v>0</v>
      </c>
      <c r="AZ34" s="16">
        <f t="shared" si="67"/>
        <v>0</v>
      </c>
      <c r="BA34" s="17">
        <f t="shared" si="68"/>
        <v>0</v>
      </c>
    </row>
    <row r="35" spans="1:53" ht="15" thickBot="1" x14ac:dyDescent="0.35">
      <c r="A35" s="184" t="s">
        <v>39</v>
      </c>
      <c r="B35" s="160"/>
      <c r="C35" s="94"/>
      <c r="D35" s="106"/>
      <c r="E35" s="106"/>
      <c r="F35" s="97"/>
      <c r="G35" s="116"/>
      <c r="H35" s="106"/>
      <c r="I35" s="97"/>
      <c r="J35" s="236"/>
      <c r="K35" s="106"/>
      <c r="L35" s="97"/>
      <c r="M35" s="106"/>
      <c r="N35" s="106"/>
      <c r="O35" s="97"/>
      <c r="P35" s="106"/>
      <c r="Q35" s="106"/>
      <c r="R35" s="97"/>
      <c r="S35" s="106"/>
      <c r="T35" s="106"/>
      <c r="U35" s="97"/>
      <c r="V35" s="106"/>
      <c r="W35" s="106"/>
      <c r="X35" s="97"/>
      <c r="Y35" s="106"/>
      <c r="Z35" s="106"/>
      <c r="AA35" s="100"/>
      <c r="AB35" s="106"/>
      <c r="AC35" s="106"/>
      <c r="AD35" s="97"/>
      <c r="AE35" s="106"/>
      <c r="AF35" s="106"/>
      <c r="AG35" s="105"/>
      <c r="AH35" s="231">
        <f>+Janvier!AJ35</f>
        <v>4319.1346153846152</v>
      </c>
      <c r="AI35" s="231">
        <f>+Janvier!AK35</f>
        <v>13437.307692307693</v>
      </c>
      <c r="AJ35" s="231">
        <f>+Janvier!AL35</f>
        <v>10077.98076923077</v>
      </c>
      <c r="AK35" s="231">
        <f>+Janvier!AM35</f>
        <v>10077.98076923077</v>
      </c>
      <c r="AL35" s="231">
        <f>+Janvier!AN35</f>
        <v>6107.8671328671326</v>
      </c>
      <c r="AM35" s="231">
        <f>+Janvier!AO35</f>
        <v>3779.2427884615386</v>
      </c>
      <c r="AN35" s="231">
        <f>+Janvier!AP35</f>
        <v>7558.4855769230771</v>
      </c>
      <c r="AO35" s="231">
        <f>+Janvier!AQ35</f>
        <v>3779.2427884615386</v>
      </c>
      <c r="AP35" s="231">
        <f>+Janvier!AR35</f>
        <v>3779.2427884615386</v>
      </c>
      <c r="AQ35" s="231">
        <f>+Janvier!AS35</f>
        <v>6718.6538461538466</v>
      </c>
      <c r="AR35" s="16">
        <f t="shared" si="59"/>
        <v>0</v>
      </c>
      <c r="AS35" s="16">
        <f t="shared" si="60"/>
        <v>0</v>
      </c>
      <c r="AT35" s="16">
        <f t="shared" si="61"/>
        <v>0</v>
      </c>
      <c r="AU35" s="16">
        <f t="shared" si="62"/>
        <v>0</v>
      </c>
      <c r="AV35" s="16">
        <f t="shared" si="63"/>
        <v>0</v>
      </c>
      <c r="AW35" s="16">
        <f t="shared" si="64"/>
        <v>0</v>
      </c>
      <c r="AX35" s="16">
        <f t="shared" si="65"/>
        <v>0</v>
      </c>
      <c r="AY35" s="16">
        <f t="shared" si="66"/>
        <v>0</v>
      </c>
      <c r="AZ35" s="16">
        <f t="shared" si="67"/>
        <v>0</v>
      </c>
      <c r="BA35" s="17">
        <f t="shared" si="68"/>
        <v>0</v>
      </c>
    </row>
    <row r="36" spans="1:53" ht="15" thickBot="1" x14ac:dyDescent="0.35">
      <c r="A36" s="184" t="s">
        <v>40</v>
      </c>
      <c r="B36" s="160"/>
      <c r="C36" s="94"/>
      <c r="D36" s="106"/>
      <c r="E36" s="106"/>
      <c r="F36" s="97"/>
      <c r="G36" s="116"/>
      <c r="H36" s="106"/>
      <c r="I36" s="97"/>
      <c r="J36" s="236"/>
      <c r="K36" s="106"/>
      <c r="L36" s="97"/>
      <c r="M36" s="106"/>
      <c r="N36" s="106"/>
      <c r="O36" s="97"/>
      <c r="P36" s="106"/>
      <c r="Q36" s="106"/>
      <c r="R36" s="97"/>
      <c r="S36" s="106"/>
      <c r="T36" s="106"/>
      <c r="U36" s="97"/>
      <c r="V36" s="106"/>
      <c r="W36" s="106"/>
      <c r="X36" s="97"/>
      <c r="Y36" s="106"/>
      <c r="Z36" s="106"/>
      <c r="AA36" s="100"/>
      <c r="AB36" s="106"/>
      <c r="AC36" s="106"/>
      <c r="AD36" s="97"/>
      <c r="AE36" s="106"/>
      <c r="AF36" s="106"/>
      <c r="AG36" s="105"/>
      <c r="AH36" s="231">
        <f>+Janvier!AJ36</f>
        <v>3701.7445054945065</v>
      </c>
      <c r="AI36" s="231">
        <f>+Janvier!AK36</f>
        <v>11516.538461538461</v>
      </c>
      <c r="AJ36" s="231">
        <f>+Janvier!AL36</f>
        <v>8637.4038461538476</v>
      </c>
      <c r="AK36" s="231">
        <f>+Janvier!AM36</f>
        <v>8637.4038461538476</v>
      </c>
      <c r="AL36" s="231">
        <f>+Janvier!AN36</f>
        <v>5234.7902097902097</v>
      </c>
      <c r="AM36" s="231">
        <f>+Janvier!AO36</f>
        <v>3239.0264423076924</v>
      </c>
      <c r="AN36" s="231">
        <f>+Janvier!AP36</f>
        <v>6478.0528846153848</v>
      </c>
      <c r="AO36" s="231">
        <f>+Janvier!AQ36</f>
        <v>3239.0264423076924</v>
      </c>
      <c r="AP36" s="231">
        <f>+Janvier!AR36</f>
        <v>3239.0264423076924</v>
      </c>
      <c r="AQ36" s="231">
        <f>+Janvier!AS36</f>
        <v>5758.2692307692305</v>
      </c>
      <c r="AR36" s="16">
        <f t="shared" si="59"/>
        <v>0</v>
      </c>
      <c r="AS36" s="16">
        <f t="shared" si="60"/>
        <v>0</v>
      </c>
      <c r="AT36" s="16">
        <f t="shared" si="61"/>
        <v>0</v>
      </c>
      <c r="AU36" s="16">
        <f t="shared" si="62"/>
        <v>0</v>
      </c>
      <c r="AV36" s="16">
        <f t="shared" si="63"/>
        <v>0</v>
      </c>
      <c r="AW36" s="16">
        <f t="shared" si="64"/>
        <v>0</v>
      </c>
      <c r="AX36" s="16">
        <f t="shared" si="65"/>
        <v>0</v>
      </c>
      <c r="AY36" s="16">
        <f t="shared" si="66"/>
        <v>0</v>
      </c>
      <c r="AZ36" s="16">
        <f t="shared" si="67"/>
        <v>0</v>
      </c>
      <c r="BA36" s="17">
        <f t="shared" si="68"/>
        <v>0</v>
      </c>
    </row>
    <row r="37" spans="1:53" ht="15" thickBot="1" x14ac:dyDescent="0.35">
      <c r="A37" s="184" t="s">
        <v>41</v>
      </c>
      <c r="B37" s="160"/>
      <c r="C37" s="94"/>
      <c r="D37" s="106"/>
      <c r="E37" s="106"/>
      <c r="F37" s="97"/>
      <c r="G37" s="116"/>
      <c r="H37" s="106"/>
      <c r="I37" s="97"/>
      <c r="J37" s="236"/>
      <c r="K37" s="106"/>
      <c r="L37" s="97"/>
      <c r="M37" s="106"/>
      <c r="N37" s="106"/>
      <c r="O37" s="97"/>
      <c r="P37" s="106"/>
      <c r="Q37" s="106"/>
      <c r="R37" s="97"/>
      <c r="S37" s="106"/>
      <c r="T37" s="106"/>
      <c r="U37" s="97"/>
      <c r="V37" s="106"/>
      <c r="W37" s="106"/>
      <c r="X37" s="97"/>
      <c r="Y37" s="106"/>
      <c r="Z37" s="106"/>
      <c r="AA37" s="100"/>
      <c r="AB37" s="106"/>
      <c r="AC37" s="106"/>
      <c r="AD37" s="97"/>
      <c r="AE37" s="106"/>
      <c r="AF37" s="106"/>
      <c r="AG37" s="105"/>
      <c r="AH37" s="231">
        <f>+Janvier!AJ37</f>
        <v>2204.0109890109893</v>
      </c>
      <c r="AI37" s="231">
        <f>+Janvier!AK37</f>
        <v>6856.9230769230771</v>
      </c>
      <c r="AJ37" s="231">
        <f>+Janvier!AL37</f>
        <v>5142.6923076923085</v>
      </c>
      <c r="AK37" s="231">
        <f>+Janvier!AM37</f>
        <v>5142.6923076923085</v>
      </c>
      <c r="AL37" s="231">
        <f>+Janvier!AN37</f>
        <v>3116.7832167832171</v>
      </c>
      <c r="AM37" s="231">
        <f>+Janvier!AO37</f>
        <v>1928.5096153846155</v>
      </c>
      <c r="AN37" s="231">
        <f>+Janvier!AP37</f>
        <v>3857.0192307692309</v>
      </c>
      <c r="AO37" s="231">
        <f>+Janvier!AQ37</f>
        <v>1928.5096153846155</v>
      </c>
      <c r="AP37" s="231">
        <f>+Janvier!AR37</f>
        <v>1928.5096153846155</v>
      </c>
      <c r="AQ37" s="231">
        <f>+Janvier!AS37</f>
        <v>3428.4615384615386</v>
      </c>
      <c r="AR37" s="16">
        <f t="shared" si="59"/>
        <v>0</v>
      </c>
      <c r="AS37" s="16">
        <f t="shared" si="60"/>
        <v>0</v>
      </c>
      <c r="AT37" s="16">
        <f t="shared" si="61"/>
        <v>0</v>
      </c>
      <c r="AU37" s="16">
        <f t="shared" si="62"/>
        <v>0</v>
      </c>
      <c r="AV37" s="16">
        <f t="shared" si="63"/>
        <v>0</v>
      </c>
      <c r="AW37" s="16">
        <f t="shared" si="64"/>
        <v>0</v>
      </c>
      <c r="AX37" s="16">
        <f t="shared" si="65"/>
        <v>0</v>
      </c>
      <c r="AY37" s="16">
        <f t="shared" si="66"/>
        <v>0</v>
      </c>
      <c r="AZ37" s="16">
        <f t="shared" si="67"/>
        <v>0</v>
      </c>
      <c r="BA37" s="17">
        <f t="shared" si="68"/>
        <v>0</v>
      </c>
    </row>
    <row r="38" spans="1:53" ht="15" thickBot="1" x14ac:dyDescent="0.35">
      <c r="A38" s="184" t="s">
        <v>42</v>
      </c>
      <c r="B38" s="160"/>
      <c r="C38" s="94"/>
      <c r="D38" s="106"/>
      <c r="E38" s="106"/>
      <c r="F38" s="97"/>
      <c r="G38" s="116"/>
      <c r="H38" s="106"/>
      <c r="I38" s="97"/>
      <c r="J38" s="236"/>
      <c r="K38" s="106"/>
      <c r="L38" s="97"/>
      <c r="M38" s="106"/>
      <c r="N38" s="106"/>
      <c r="O38" s="97"/>
      <c r="P38" s="106"/>
      <c r="Q38" s="106"/>
      <c r="R38" s="97"/>
      <c r="S38" s="106"/>
      <c r="T38" s="106"/>
      <c r="U38" s="97"/>
      <c r="V38" s="106"/>
      <c r="W38" s="106"/>
      <c r="X38" s="97"/>
      <c r="Y38" s="106"/>
      <c r="Z38" s="106"/>
      <c r="AA38" s="100"/>
      <c r="AB38" s="106"/>
      <c r="AC38" s="106"/>
      <c r="AD38" s="97"/>
      <c r="AE38" s="106"/>
      <c r="AF38" s="106"/>
      <c r="AG38" s="105"/>
      <c r="AH38" s="231">
        <f>+Janvier!AJ38</f>
        <v>4595.1923076923076</v>
      </c>
      <c r="AI38" s="231">
        <f>+Janvier!AK38</f>
        <v>14296.153846153846</v>
      </c>
      <c r="AJ38" s="231">
        <f>+Janvier!AL38</f>
        <v>10722.115384615387</v>
      </c>
      <c r="AK38" s="231">
        <f>+Janvier!AM38</f>
        <v>10722.115384615387</v>
      </c>
      <c r="AL38" s="231">
        <f>+Janvier!AN38</f>
        <v>6498.2517482517496</v>
      </c>
      <c r="AM38" s="231">
        <f>+Janvier!AO38</f>
        <v>4020.7932692307691</v>
      </c>
      <c r="AN38" s="231">
        <f>+Janvier!AP38</f>
        <v>8041.5865384615381</v>
      </c>
      <c r="AO38" s="231">
        <f>+Janvier!AQ38</f>
        <v>4020.7932692307691</v>
      </c>
      <c r="AP38" s="231">
        <f>+Janvier!AR38</f>
        <v>4020.7932692307691</v>
      </c>
      <c r="AQ38" s="231">
        <f>+Janvier!AS38</f>
        <v>7148.0769230769229</v>
      </c>
      <c r="AR38" s="16">
        <f t="shared" si="59"/>
        <v>0</v>
      </c>
      <c r="AS38" s="16">
        <f t="shared" si="60"/>
        <v>0</v>
      </c>
      <c r="AT38" s="16">
        <f t="shared" si="61"/>
        <v>0</v>
      </c>
      <c r="AU38" s="16">
        <f t="shared" si="62"/>
        <v>0</v>
      </c>
      <c r="AV38" s="16">
        <f t="shared" si="63"/>
        <v>0</v>
      </c>
      <c r="AW38" s="16">
        <f t="shared" si="64"/>
        <v>0</v>
      </c>
      <c r="AX38" s="16">
        <f t="shared" si="65"/>
        <v>0</v>
      </c>
      <c r="AY38" s="16">
        <f t="shared" si="66"/>
        <v>0</v>
      </c>
      <c r="AZ38" s="16">
        <f t="shared" si="67"/>
        <v>0</v>
      </c>
      <c r="BA38" s="17">
        <f t="shared" si="68"/>
        <v>0</v>
      </c>
    </row>
    <row r="39" spans="1:53" ht="15" thickBot="1" x14ac:dyDescent="0.35">
      <c r="A39" s="121" t="s">
        <v>43</v>
      </c>
      <c r="B39" s="160"/>
      <c r="C39" s="143"/>
      <c r="D39" s="145"/>
      <c r="E39" s="145"/>
      <c r="F39" s="110"/>
      <c r="G39" s="147"/>
      <c r="H39" s="145"/>
      <c r="I39" s="110"/>
      <c r="J39" s="238"/>
      <c r="K39" s="145"/>
      <c r="L39" s="110"/>
      <c r="M39" s="145"/>
      <c r="N39" s="145"/>
      <c r="O39" s="110"/>
      <c r="P39" s="145"/>
      <c r="Q39" s="145"/>
      <c r="R39" s="110"/>
      <c r="S39" s="145"/>
      <c r="T39" s="145"/>
      <c r="U39" s="110"/>
      <c r="V39" s="145"/>
      <c r="W39" s="145"/>
      <c r="X39" s="110"/>
      <c r="Y39" s="145"/>
      <c r="Z39" s="145"/>
      <c r="AA39" s="162"/>
      <c r="AB39" s="145"/>
      <c r="AC39" s="145"/>
      <c r="AD39" s="110"/>
      <c r="AE39" s="145"/>
      <c r="AF39" s="145"/>
      <c r="AG39" s="112"/>
      <c r="AH39" s="231">
        <f>+Janvier!AJ39</f>
        <v>4254.2307692307695</v>
      </c>
      <c r="AI39" s="231">
        <f>+Janvier!AK39</f>
        <v>13235.384615384613</v>
      </c>
      <c r="AJ39" s="231">
        <f>+Janvier!AL39</f>
        <v>9926.538461538461</v>
      </c>
      <c r="AK39" s="231">
        <f>+Janvier!AM39</f>
        <v>9926.538461538461</v>
      </c>
      <c r="AL39" s="231">
        <f>+Janvier!AN39</f>
        <v>6016.0839160839159</v>
      </c>
      <c r="AM39" s="231">
        <f>+Janvier!AO39</f>
        <v>3722.4519230769233</v>
      </c>
      <c r="AN39" s="231">
        <f>+Janvier!AP39</f>
        <v>7444.9038461538466</v>
      </c>
      <c r="AO39" s="231">
        <f>+Janvier!AQ39</f>
        <v>3722.4519230769233</v>
      </c>
      <c r="AP39" s="231">
        <f>+Janvier!AR39</f>
        <v>3722.4519230769233</v>
      </c>
      <c r="AQ39" s="231">
        <f>+Janvier!AS39</f>
        <v>6617.6923076923067</v>
      </c>
      <c r="AR39" s="32">
        <f t="shared" si="59"/>
        <v>0</v>
      </c>
      <c r="AS39" s="32">
        <f t="shared" si="60"/>
        <v>0</v>
      </c>
      <c r="AT39" s="32">
        <f t="shared" si="61"/>
        <v>0</v>
      </c>
      <c r="AU39" s="32">
        <f t="shared" si="62"/>
        <v>0</v>
      </c>
      <c r="AV39" s="32">
        <f t="shared" si="63"/>
        <v>0</v>
      </c>
      <c r="AW39" s="32">
        <f t="shared" si="64"/>
        <v>0</v>
      </c>
      <c r="AX39" s="32">
        <f t="shared" si="65"/>
        <v>0</v>
      </c>
      <c r="AY39" s="32">
        <f t="shared" si="66"/>
        <v>0</v>
      </c>
      <c r="AZ39" s="32">
        <f t="shared" si="67"/>
        <v>0</v>
      </c>
      <c r="BA39" s="33">
        <f t="shared" si="68"/>
        <v>0</v>
      </c>
    </row>
    <row r="40" spans="1:53" ht="15.6" x14ac:dyDescent="0.3">
      <c r="A40" s="198" t="s">
        <v>88</v>
      </c>
      <c r="B40" s="160"/>
      <c r="C40" s="160"/>
      <c r="D40" s="122"/>
      <c r="E40" s="123"/>
      <c r="F40" s="124"/>
      <c r="G40" s="125"/>
      <c r="H40" s="123"/>
      <c r="I40" s="126"/>
      <c r="J40" s="125"/>
      <c r="K40" s="123"/>
      <c r="L40" s="124"/>
      <c r="M40" s="125"/>
      <c r="N40" s="123"/>
      <c r="O40" s="124"/>
      <c r="P40" s="125"/>
      <c r="Q40" s="123"/>
      <c r="R40" s="124"/>
      <c r="S40" s="125"/>
      <c r="T40" s="123"/>
      <c r="U40" s="124"/>
      <c r="V40" s="125"/>
      <c r="W40" s="123"/>
      <c r="X40" s="124"/>
      <c r="Y40" s="125"/>
      <c r="Z40" s="123"/>
      <c r="AA40" s="124"/>
      <c r="AB40" s="125"/>
      <c r="AC40" s="123"/>
      <c r="AD40" s="124"/>
      <c r="AE40" s="125"/>
      <c r="AF40" s="123"/>
      <c r="AG40" s="126"/>
      <c r="AH40" s="231">
        <f>+Janvier!AJ40</f>
        <v>69601.949999999983</v>
      </c>
      <c r="AI40" s="231">
        <f>+Janvier!AK40</f>
        <v>241304.71153846153</v>
      </c>
      <c r="AJ40" s="231">
        <f>+Janvier!AL40</f>
        <v>160708.93788461541</v>
      </c>
      <c r="AK40" s="231">
        <f>+Janvier!AM40</f>
        <v>160708.93788461541</v>
      </c>
      <c r="AL40" s="231">
        <f>+Janvier!AN40</f>
        <v>101347.97884615386</v>
      </c>
      <c r="AM40" s="231">
        <f>+Janvier!AO40</f>
        <v>60326.177884615383</v>
      </c>
      <c r="AN40" s="231">
        <f>+Janvier!AP40</f>
        <v>120652.35576923077</v>
      </c>
      <c r="AO40" s="231">
        <f>+Janvier!AQ40</f>
        <v>60326.177884615383</v>
      </c>
      <c r="AP40" s="231">
        <f>+Janvier!AR40</f>
        <v>60326.177884615383</v>
      </c>
      <c r="AQ40" s="231">
        <f>+Janvier!AS40</f>
        <v>108053.37692307694</v>
      </c>
      <c r="AR40" s="16">
        <f>ROUND(E40/(AH40/15),0)</f>
        <v>0</v>
      </c>
      <c r="AS40" s="16">
        <f t="shared" ref="AS40" si="69">ROUND(H40/(AI40/15),0)</f>
        <v>0</v>
      </c>
      <c r="AT40" s="16">
        <f t="shared" ref="AT40" si="70">ROUND(K40/(AJ40/15),0)</f>
        <v>0</v>
      </c>
      <c r="AU40" s="16">
        <f t="shared" ref="AU40" si="71">ROUND(N40/(AK40/15),0)</f>
        <v>0</v>
      </c>
      <c r="AV40" s="16">
        <f t="shared" ref="AV40" si="72">ROUND(Q40/(AL40/15),0)</f>
        <v>0</v>
      </c>
      <c r="AW40" s="16">
        <f t="shared" ref="AW40" si="73">ROUND(T40/(AM40/15),0)</f>
        <v>0</v>
      </c>
      <c r="AX40" s="16">
        <f t="shared" ref="AX40" si="74">ROUND(W40/(AN40/15),0)</f>
        <v>0</v>
      </c>
      <c r="AY40" s="16">
        <f t="shared" ref="AY40" si="75">ROUND(Z40/(AO40/15),0)</f>
        <v>0</v>
      </c>
      <c r="AZ40" s="16">
        <f t="shared" ref="AZ40" si="76">ROUND(AC40/(AP40/15),0)</f>
        <v>0</v>
      </c>
      <c r="BA40" s="17">
        <f t="shared" ref="BA40" si="77">ROUND(AF40/(AQ40/15),0)</f>
        <v>0</v>
      </c>
    </row>
    <row r="41" spans="1:53" ht="15.6" x14ac:dyDescent="0.3">
      <c r="A41" s="199" t="s">
        <v>44</v>
      </c>
      <c r="B41" s="94"/>
      <c r="C41" s="94"/>
      <c r="D41" s="107"/>
      <c r="E41" s="96"/>
      <c r="F41" s="97"/>
      <c r="G41" s="95"/>
      <c r="H41" s="96"/>
      <c r="I41" s="105"/>
      <c r="J41" s="95"/>
      <c r="K41" s="96"/>
      <c r="L41" s="97"/>
      <c r="M41" s="95"/>
      <c r="N41" s="96"/>
      <c r="O41" s="97"/>
      <c r="P41" s="95"/>
      <c r="Q41" s="96"/>
      <c r="R41" s="97"/>
      <c r="S41" s="95"/>
      <c r="T41" s="96"/>
      <c r="U41" s="97"/>
      <c r="V41" s="95"/>
      <c r="W41" s="96"/>
      <c r="X41" s="97"/>
      <c r="Y41" s="95"/>
      <c r="Z41" s="96"/>
      <c r="AA41" s="97"/>
      <c r="AB41" s="95"/>
      <c r="AC41" s="96"/>
      <c r="AD41" s="97"/>
      <c r="AE41" s="95"/>
      <c r="AF41" s="96"/>
      <c r="AG41" s="105"/>
      <c r="AH41" s="231">
        <f>+Janvier!AJ41</f>
        <v>1769.7115384615383</v>
      </c>
      <c r="AI41" s="231">
        <f>+Janvier!AK41</f>
        <v>5505.7692307692305</v>
      </c>
      <c r="AJ41" s="231">
        <f>+Janvier!AL41</f>
        <v>4129.3269230769229</v>
      </c>
      <c r="AK41" s="231">
        <f>+Janvier!AM41</f>
        <v>4129.3269230769229</v>
      </c>
      <c r="AL41" s="231">
        <f>+Janvier!AN41</f>
        <v>2502.6223776223778</v>
      </c>
      <c r="AM41" s="231">
        <f>+Janvier!AO41</f>
        <v>1548.4975961538462</v>
      </c>
      <c r="AN41" s="231">
        <f>+Janvier!AP41</f>
        <v>3096.9951923076924</v>
      </c>
      <c r="AO41" s="231">
        <f>+Janvier!AQ41</f>
        <v>1548.4975961538462</v>
      </c>
      <c r="AP41" s="231">
        <f>+Janvier!AR41</f>
        <v>1548.4975961538462</v>
      </c>
      <c r="AQ41" s="231">
        <f>+Janvier!AS41</f>
        <v>2752.8846153846152</v>
      </c>
      <c r="AR41" s="16">
        <f t="shared" ref="AR41:AR53" si="78">ROUND(E41/(AH41/5),0)</f>
        <v>0</v>
      </c>
      <c r="AS41" s="16">
        <f t="shared" ref="AS41:AS53" si="79">ROUND(H41/(AI41/5),0)</f>
        <v>0</v>
      </c>
      <c r="AT41" s="16">
        <f t="shared" ref="AT41:AT53" si="80">ROUND(K41/(AJ41/5),0)</f>
        <v>0</v>
      </c>
      <c r="AU41" s="16">
        <f t="shared" ref="AU41:AU53" si="81">ROUND(N41/(AK41/5),0)</f>
        <v>0</v>
      </c>
      <c r="AV41" s="16">
        <f t="shared" ref="AV41:AV53" si="82">ROUND(Q41/(AL41/5),0)</f>
        <v>0</v>
      </c>
      <c r="AW41" s="16">
        <f t="shared" ref="AW41:AW53" si="83">ROUND(T41/(AM41/5),0)</f>
        <v>0</v>
      </c>
      <c r="AX41" s="16">
        <f t="shared" ref="AX41:AX53" si="84">ROUND(W41/(AN41/5),0)</f>
        <v>0</v>
      </c>
      <c r="AY41" s="16">
        <f t="shared" ref="AY41:AY53" si="85">ROUND(Z41/(AO41/5),0)</f>
        <v>0</v>
      </c>
      <c r="AZ41" s="16">
        <f t="shared" ref="AZ41:AZ53" si="86">ROUND(AC41/(AP41/5),0)</f>
        <v>0</v>
      </c>
      <c r="BA41" s="17">
        <f t="shared" ref="BA41:BA53" si="87">ROUND(AF41/(AQ41/5),0)</f>
        <v>0</v>
      </c>
    </row>
    <row r="42" spans="1:53" ht="15.6" x14ac:dyDescent="0.3">
      <c r="A42" s="199" t="s">
        <v>45</v>
      </c>
      <c r="B42" s="94"/>
      <c r="C42" s="94"/>
      <c r="D42" s="107"/>
      <c r="E42" s="96"/>
      <c r="F42" s="97"/>
      <c r="G42" s="95"/>
      <c r="H42" s="96"/>
      <c r="I42" s="105"/>
      <c r="J42" s="95"/>
      <c r="K42" s="96"/>
      <c r="L42" s="97"/>
      <c r="M42" s="95"/>
      <c r="N42" s="96"/>
      <c r="O42" s="97"/>
      <c r="P42" s="95"/>
      <c r="Q42" s="96"/>
      <c r="R42" s="97"/>
      <c r="S42" s="95"/>
      <c r="T42" s="96"/>
      <c r="U42" s="97"/>
      <c r="V42" s="95"/>
      <c r="W42" s="96"/>
      <c r="X42" s="97"/>
      <c r="Y42" s="95"/>
      <c r="Z42" s="96"/>
      <c r="AA42" s="97"/>
      <c r="AB42" s="95"/>
      <c r="AC42" s="96"/>
      <c r="AD42" s="97"/>
      <c r="AE42" s="95"/>
      <c r="AF42" s="96"/>
      <c r="AG42" s="105"/>
      <c r="AH42" s="231">
        <f>+Janvier!AJ42</f>
        <v>499.20329670329681</v>
      </c>
      <c r="AI42" s="231">
        <f>+Janvier!AK42</f>
        <v>1553.0769230769233</v>
      </c>
      <c r="AJ42" s="231">
        <f>+Janvier!AL42</f>
        <v>1164.8076923076926</v>
      </c>
      <c r="AK42" s="231">
        <f>+Janvier!AM42</f>
        <v>1164.8076923076926</v>
      </c>
      <c r="AL42" s="231">
        <f>+Janvier!AN42</f>
        <v>705.944055944056</v>
      </c>
      <c r="AM42" s="231">
        <f>+Janvier!AO42</f>
        <v>436.80288461538458</v>
      </c>
      <c r="AN42" s="231">
        <f>+Janvier!AP42</f>
        <v>873.60576923076917</v>
      </c>
      <c r="AO42" s="231">
        <f>+Janvier!AQ42</f>
        <v>436.80288461538458</v>
      </c>
      <c r="AP42" s="231">
        <f>+Janvier!AR42</f>
        <v>436.80288461538458</v>
      </c>
      <c r="AQ42" s="231">
        <f>+Janvier!AS42</f>
        <v>776.53846153846166</v>
      </c>
      <c r="AR42" s="16">
        <f t="shared" si="78"/>
        <v>0</v>
      </c>
      <c r="AS42" s="16">
        <f t="shared" si="79"/>
        <v>0</v>
      </c>
      <c r="AT42" s="16">
        <f t="shared" si="80"/>
        <v>0</v>
      </c>
      <c r="AU42" s="16">
        <f t="shared" si="81"/>
        <v>0</v>
      </c>
      <c r="AV42" s="16">
        <f t="shared" si="82"/>
        <v>0</v>
      </c>
      <c r="AW42" s="16">
        <f t="shared" si="83"/>
        <v>0</v>
      </c>
      <c r="AX42" s="16">
        <f t="shared" si="84"/>
        <v>0</v>
      </c>
      <c r="AY42" s="16">
        <f t="shared" si="85"/>
        <v>0</v>
      </c>
      <c r="AZ42" s="16">
        <f t="shared" si="86"/>
        <v>0</v>
      </c>
      <c r="BA42" s="17">
        <f t="shared" si="87"/>
        <v>0</v>
      </c>
    </row>
    <row r="43" spans="1:53" ht="15.6" x14ac:dyDescent="0.3">
      <c r="A43" s="199" t="s">
        <v>46</v>
      </c>
      <c r="B43" s="94"/>
      <c r="C43" s="94"/>
      <c r="D43" s="107"/>
      <c r="E43" s="96"/>
      <c r="F43" s="97"/>
      <c r="G43" s="95"/>
      <c r="H43" s="96"/>
      <c r="I43" s="105"/>
      <c r="J43" s="95"/>
      <c r="K43" s="96"/>
      <c r="L43" s="97"/>
      <c r="M43" s="95"/>
      <c r="N43" s="96"/>
      <c r="O43" s="97"/>
      <c r="P43" s="95"/>
      <c r="Q43" s="96"/>
      <c r="R43" s="97"/>
      <c r="S43" s="95"/>
      <c r="T43" s="96"/>
      <c r="U43" s="97"/>
      <c r="V43" s="95"/>
      <c r="W43" s="96"/>
      <c r="X43" s="97"/>
      <c r="Y43" s="95"/>
      <c r="Z43" s="96"/>
      <c r="AA43" s="97"/>
      <c r="AB43" s="95"/>
      <c r="AC43" s="96"/>
      <c r="AD43" s="97"/>
      <c r="AE43" s="95"/>
      <c r="AF43" s="96"/>
      <c r="AG43" s="105"/>
      <c r="AH43" s="231">
        <f>+Janvier!AJ43</f>
        <v>3075.0824175824173</v>
      </c>
      <c r="AI43" s="231">
        <f>+Janvier!AK43</f>
        <v>9566.923076923078</v>
      </c>
      <c r="AJ43" s="231">
        <f>+Janvier!AL43</f>
        <v>7175.1923076923067</v>
      </c>
      <c r="AK43" s="231">
        <f>+Janvier!AM43</f>
        <v>7175.1923076923067</v>
      </c>
      <c r="AL43" s="231">
        <f>+Janvier!AN43</f>
        <v>4348.6013986013986</v>
      </c>
      <c r="AM43" s="231">
        <f>+Janvier!AO43</f>
        <v>2690.6971153846152</v>
      </c>
      <c r="AN43" s="231">
        <f>+Janvier!AP43</f>
        <v>5381.3942307692305</v>
      </c>
      <c r="AO43" s="231">
        <f>+Janvier!AQ43</f>
        <v>2690.6971153846152</v>
      </c>
      <c r="AP43" s="231">
        <f>+Janvier!AR43</f>
        <v>2690.6971153846152</v>
      </c>
      <c r="AQ43" s="231">
        <f>+Janvier!AS43</f>
        <v>4783.461538461539</v>
      </c>
      <c r="AR43" s="16">
        <f t="shared" si="78"/>
        <v>0</v>
      </c>
      <c r="AS43" s="16">
        <f t="shared" si="79"/>
        <v>0</v>
      </c>
      <c r="AT43" s="16">
        <f t="shared" si="80"/>
        <v>0</v>
      </c>
      <c r="AU43" s="16">
        <f t="shared" si="81"/>
        <v>0</v>
      </c>
      <c r="AV43" s="16">
        <f t="shared" si="82"/>
        <v>0</v>
      </c>
      <c r="AW43" s="16">
        <f t="shared" si="83"/>
        <v>0</v>
      </c>
      <c r="AX43" s="16">
        <f t="shared" si="84"/>
        <v>0</v>
      </c>
      <c r="AY43" s="16">
        <f t="shared" si="85"/>
        <v>0</v>
      </c>
      <c r="AZ43" s="16">
        <f t="shared" si="86"/>
        <v>0</v>
      </c>
      <c r="BA43" s="17">
        <f t="shared" si="87"/>
        <v>0</v>
      </c>
    </row>
    <row r="44" spans="1:53" ht="15.6" x14ac:dyDescent="0.3">
      <c r="A44" s="199" t="s">
        <v>47</v>
      </c>
      <c r="B44" s="94"/>
      <c r="C44" s="94"/>
      <c r="D44" s="107"/>
      <c r="E44" s="96"/>
      <c r="F44" s="97"/>
      <c r="G44" s="95"/>
      <c r="H44" s="96"/>
      <c r="I44" s="105"/>
      <c r="J44" s="95"/>
      <c r="K44" s="96"/>
      <c r="L44" s="97"/>
      <c r="M44" s="95"/>
      <c r="N44" s="96"/>
      <c r="O44" s="97"/>
      <c r="P44" s="95"/>
      <c r="Q44" s="96"/>
      <c r="R44" s="97"/>
      <c r="S44" s="95"/>
      <c r="T44" s="96"/>
      <c r="U44" s="97"/>
      <c r="V44" s="95"/>
      <c r="W44" s="96"/>
      <c r="X44" s="97"/>
      <c r="Y44" s="95"/>
      <c r="Z44" s="96"/>
      <c r="AA44" s="97"/>
      <c r="AB44" s="95"/>
      <c r="AC44" s="96"/>
      <c r="AD44" s="97"/>
      <c r="AE44" s="95"/>
      <c r="AF44" s="96"/>
      <c r="AG44" s="105"/>
      <c r="AH44" s="231">
        <f>+Janvier!AJ44</f>
        <v>2324.2994505494512</v>
      </c>
      <c r="AI44" s="231">
        <f>+Janvier!AK44</f>
        <v>7231.1538461538476</v>
      </c>
      <c r="AJ44" s="231">
        <f>+Janvier!AL44</f>
        <v>5423.3653846153857</v>
      </c>
      <c r="AK44" s="231">
        <f>+Janvier!AM44</f>
        <v>5423.3653846153857</v>
      </c>
      <c r="AL44" s="231">
        <f>+Janvier!AN44</f>
        <v>3286.8881118881118</v>
      </c>
      <c r="AM44" s="231">
        <f>+Janvier!AO44</f>
        <v>2033.7620192307693</v>
      </c>
      <c r="AN44" s="231">
        <f>+Janvier!AP44</f>
        <v>4067.5240384615386</v>
      </c>
      <c r="AO44" s="231">
        <f>+Janvier!AQ44</f>
        <v>2033.7620192307693</v>
      </c>
      <c r="AP44" s="231">
        <f>+Janvier!AR44</f>
        <v>2033.7620192307693</v>
      </c>
      <c r="AQ44" s="231">
        <f>+Janvier!AS44</f>
        <v>3615.5769230769238</v>
      </c>
      <c r="AR44" s="16">
        <f t="shared" si="78"/>
        <v>0</v>
      </c>
      <c r="AS44" s="16">
        <f t="shared" si="79"/>
        <v>0</v>
      </c>
      <c r="AT44" s="16">
        <f t="shared" si="80"/>
        <v>0</v>
      </c>
      <c r="AU44" s="16">
        <f t="shared" si="81"/>
        <v>0</v>
      </c>
      <c r="AV44" s="16">
        <f t="shared" si="82"/>
        <v>0</v>
      </c>
      <c r="AW44" s="16">
        <f t="shared" si="83"/>
        <v>0</v>
      </c>
      <c r="AX44" s="16">
        <f t="shared" si="84"/>
        <v>0</v>
      </c>
      <c r="AY44" s="16">
        <f t="shared" si="85"/>
        <v>0</v>
      </c>
      <c r="AZ44" s="16">
        <f t="shared" si="86"/>
        <v>0</v>
      </c>
      <c r="BA44" s="17">
        <f t="shared" si="87"/>
        <v>0</v>
      </c>
    </row>
    <row r="45" spans="1:53" ht="15.6" x14ac:dyDescent="0.3">
      <c r="A45" s="199" t="s">
        <v>48</v>
      </c>
      <c r="B45" s="94"/>
      <c r="C45" s="94"/>
      <c r="D45" s="107"/>
      <c r="E45" s="96"/>
      <c r="F45" s="97"/>
      <c r="G45" s="95"/>
      <c r="H45" s="96"/>
      <c r="I45" s="105"/>
      <c r="J45" s="95"/>
      <c r="K45" s="96"/>
      <c r="L45" s="97"/>
      <c r="M45" s="95"/>
      <c r="N45" s="96"/>
      <c r="O45" s="97"/>
      <c r="P45" s="95"/>
      <c r="Q45" s="96"/>
      <c r="R45" s="97"/>
      <c r="S45" s="95"/>
      <c r="T45" s="96"/>
      <c r="U45" s="97"/>
      <c r="V45" s="95"/>
      <c r="W45" s="96"/>
      <c r="X45" s="97"/>
      <c r="Y45" s="95"/>
      <c r="Z45" s="96"/>
      <c r="AA45" s="97"/>
      <c r="AB45" s="95"/>
      <c r="AC45" s="96"/>
      <c r="AD45" s="97"/>
      <c r="AE45" s="95"/>
      <c r="AF45" s="96"/>
      <c r="AG45" s="105"/>
      <c r="AH45" s="231">
        <f>+Janvier!AJ45</f>
        <v>2327.5137362637361</v>
      </c>
      <c r="AI45" s="231">
        <f>+Janvier!AK45</f>
        <v>7241.1538461538466</v>
      </c>
      <c r="AJ45" s="231">
        <f>+Janvier!AL45</f>
        <v>5430.8653846153829</v>
      </c>
      <c r="AK45" s="231">
        <f>+Janvier!AM45</f>
        <v>5430.8653846153829</v>
      </c>
      <c r="AL45" s="231">
        <f>+Janvier!AN45</f>
        <v>3291.4335664335663</v>
      </c>
      <c r="AM45" s="231">
        <f>+Janvier!AO45</f>
        <v>2036.5745192307693</v>
      </c>
      <c r="AN45" s="231">
        <f>+Janvier!AP45</f>
        <v>4073.1490384615386</v>
      </c>
      <c r="AO45" s="231">
        <f>+Janvier!AQ45</f>
        <v>2036.5745192307693</v>
      </c>
      <c r="AP45" s="231">
        <f>+Janvier!AR45</f>
        <v>2036.5745192307693</v>
      </c>
      <c r="AQ45" s="231">
        <f>+Janvier!AS45</f>
        <v>3620.5769230769233</v>
      </c>
      <c r="AR45" s="16">
        <f t="shared" si="78"/>
        <v>0</v>
      </c>
      <c r="AS45" s="16">
        <f t="shared" si="79"/>
        <v>0</v>
      </c>
      <c r="AT45" s="16">
        <f t="shared" si="80"/>
        <v>0</v>
      </c>
      <c r="AU45" s="16">
        <f t="shared" si="81"/>
        <v>0</v>
      </c>
      <c r="AV45" s="16">
        <f t="shared" si="82"/>
        <v>0</v>
      </c>
      <c r="AW45" s="16">
        <f t="shared" si="83"/>
        <v>0</v>
      </c>
      <c r="AX45" s="16">
        <f t="shared" si="84"/>
        <v>0</v>
      </c>
      <c r="AY45" s="16">
        <f t="shared" si="85"/>
        <v>0</v>
      </c>
      <c r="AZ45" s="16">
        <f t="shared" si="86"/>
        <v>0</v>
      </c>
      <c r="BA45" s="17">
        <f t="shared" si="87"/>
        <v>0</v>
      </c>
    </row>
    <row r="46" spans="1:53" ht="15.6" x14ac:dyDescent="0.3">
      <c r="A46" s="199" t="s">
        <v>49</v>
      </c>
      <c r="B46" s="94"/>
      <c r="C46" s="94"/>
      <c r="D46" s="107"/>
      <c r="E46" s="96"/>
      <c r="F46" s="97"/>
      <c r="G46" s="95"/>
      <c r="H46" s="96"/>
      <c r="I46" s="105"/>
      <c r="J46" s="95"/>
      <c r="K46" s="96"/>
      <c r="L46" s="97"/>
      <c r="M46" s="95"/>
      <c r="N46" s="96"/>
      <c r="O46" s="97"/>
      <c r="P46" s="95"/>
      <c r="Q46" s="96"/>
      <c r="R46" s="97"/>
      <c r="S46" s="95"/>
      <c r="T46" s="96"/>
      <c r="U46" s="97"/>
      <c r="V46" s="95"/>
      <c r="W46" s="96"/>
      <c r="X46" s="97"/>
      <c r="Y46" s="95"/>
      <c r="Z46" s="96"/>
      <c r="AA46" s="97"/>
      <c r="AB46" s="95"/>
      <c r="AC46" s="96"/>
      <c r="AD46" s="97"/>
      <c r="AE46" s="95"/>
      <c r="AF46" s="96"/>
      <c r="AG46" s="105"/>
      <c r="AH46" s="231">
        <f>+Janvier!AJ46</f>
        <v>2160.3708791208792</v>
      </c>
      <c r="AI46" s="231">
        <f>+Janvier!AK46</f>
        <v>6721.1538461538466</v>
      </c>
      <c r="AJ46" s="231">
        <f>+Janvier!AL46</f>
        <v>5040.8653846153848</v>
      </c>
      <c r="AK46" s="231">
        <f>+Janvier!AM46</f>
        <v>5040.8653846153848</v>
      </c>
      <c r="AL46" s="231">
        <f>+Janvier!AN46</f>
        <v>3055.0699300699303</v>
      </c>
      <c r="AM46" s="231">
        <f>+Janvier!AO46</f>
        <v>1890.3245192307693</v>
      </c>
      <c r="AN46" s="231">
        <f>+Janvier!AP46</f>
        <v>3780.6490384615386</v>
      </c>
      <c r="AO46" s="231">
        <f>+Janvier!AQ46</f>
        <v>1890.3245192307693</v>
      </c>
      <c r="AP46" s="231">
        <f>+Janvier!AR46</f>
        <v>1890.3245192307693</v>
      </c>
      <c r="AQ46" s="231">
        <f>+Janvier!AS46</f>
        <v>3360.5769230769233</v>
      </c>
      <c r="AR46" s="16">
        <f t="shared" si="78"/>
        <v>0</v>
      </c>
      <c r="AS46" s="16">
        <f t="shared" si="79"/>
        <v>0</v>
      </c>
      <c r="AT46" s="16">
        <f t="shared" si="80"/>
        <v>0</v>
      </c>
      <c r="AU46" s="16">
        <f t="shared" si="81"/>
        <v>0</v>
      </c>
      <c r="AV46" s="16">
        <f t="shared" si="82"/>
        <v>0</v>
      </c>
      <c r="AW46" s="16">
        <f t="shared" si="83"/>
        <v>0</v>
      </c>
      <c r="AX46" s="16">
        <f t="shared" si="84"/>
        <v>0</v>
      </c>
      <c r="AY46" s="16">
        <f t="shared" si="85"/>
        <v>0</v>
      </c>
      <c r="AZ46" s="16">
        <f t="shared" si="86"/>
        <v>0</v>
      </c>
      <c r="BA46" s="17">
        <f t="shared" si="87"/>
        <v>0</v>
      </c>
    </row>
    <row r="47" spans="1:53" ht="15.6" x14ac:dyDescent="0.3">
      <c r="A47" s="199" t="s">
        <v>50</v>
      </c>
      <c r="B47" s="94"/>
      <c r="C47" s="94"/>
      <c r="D47" s="107"/>
      <c r="E47" s="96"/>
      <c r="F47" s="97"/>
      <c r="G47" s="95"/>
      <c r="H47" s="96"/>
      <c r="I47" s="105"/>
      <c r="J47" s="95"/>
      <c r="K47" s="96"/>
      <c r="L47" s="97"/>
      <c r="M47" s="95"/>
      <c r="N47" s="96"/>
      <c r="O47" s="97"/>
      <c r="P47" s="95"/>
      <c r="Q47" s="96"/>
      <c r="R47" s="97"/>
      <c r="S47" s="95"/>
      <c r="T47" s="96"/>
      <c r="U47" s="97"/>
      <c r="V47" s="95"/>
      <c r="W47" s="96"/>
      <c r="X47" s="97"/>
      <c r="Y47" s="95"/>
      <c r="Z47" s="96"/>
      <c r="AA47" s="97"/>
      <c r="AB47" s="95"/>
      <c r="AC47" s="96"/>
      <c r="AD47" s="97"/>
      <c r="AE47" s="95"/>
      <c r="AF47" s="96"/>
      <c r="AG47" s="105"/>
      <c r="AH47" s="231">
        <f>+Janvier!AJ47</f>
        <v>3766.7719780219786</v>
      </c>
      <c r="AI47" s="231">
        <f>+Janvier!AK47</f>
        <v>11718.846153846154</v>
      </c>
      <c r="AJ47" s="231">
        <f>+Janvier!AL47</f>
        <v>8789.1346153846171</v>
      </c>
      <c r="AK47" s="231">
        <f>+Janvier!AM47</f>
        <v>8789.1346153846171</v>
      </c>
      <c r="AL47" s="231">
        <f>+Janvier!AN47</f>
        <v>5326.7482517482513</v>
      </c>
      <c r="AM47" s="231">
        <f>+Janvier!AO47</f>
        <v>3295.9254807692309</v>
      </c>
      <c r="AN47" s="231">
        <f>+Janvier!AP47</f>
        <v>6591.8509615384619</v>
      </c>
      <c r="AO47" s="231">
        <f>+Janvier!AQ47</f>
        <v>3295.9254807692309</v>
      </c>
      <c r="AP47" s="231">
        <f>+Janvier!AR47</f>
        <v>3295.9254807692309</v>
      </c>
      <c r="AQ47" s="231">
        <f>+Janvier!AS47</f>
        <v>5859.4230769230771</v>
      </c>
      <c r="AR47" s="16">
        <f t="shared" si="78"/>
        <v>0</v>
      </c>
      <c r="AS47" s="16">
        <f t="shared" si="79"/>
        <v>0</v>
      </c>
      <c r="AT47" s="16">
        <f t="shared" si="80"/>
        <v>0</v>
      </c>
      <c r="AU47" s="16">
        <f t="shared" si="81"/>
        <v>0</v>
      </c>
      <c r="AV47" s="16">
        <f t="shared" si="82"/>
        <v>0</v>
      </c>
      <c r="AW47" s="16">
        <f t="shared" si="83"/>
        <v>0</v>
      </c>
      <c r="AX47" s="16">
        <f t="shared" si="84"/>
        <v>0</v>
      </c>
      <c r="AY47" s="16">
        <f t="shared" si="85"/>
        <v>0</v>
      </c>
      <c r="AZ47" s="16">
        <f t="shared" si="86"/>
        <v>0</v>
      </c>
      <c r="BA47" s="17">
        <f t="shared" si="87"/>
        <v>0</v>
      </c>
    </row>
    <row r="48" spans="1:53" ht="15.6" x14ac:dyDescent="0.3">
      <c r="A48" s="199" t="s">
        <v>56</v>
      </c>
      <c r="B48" s="94"/>
      <c r="C48" s="94"/>
      <c r="D48" s="107"/>
      <c r="E48" s="96"/>
      <c r="F48" s="97"/>
      <c r="G48" s="95"/>
      <c r="H48" s="96"/>
      <c r="I48" s="105"/>
      <c r="J48" s="95"/>
      <c r="K48" s="96"/>
      <c r="L48" s="97"/>
      <c r="M48" s="95"/>
      <c r="N48" s="96"/>
      <c r="O48" s="97"/>
      <c r="P48" s="95"/>
      <c r="Q48" s="96"/>
      <c r="R48" s="97"/>
      <c r="S48" s="95"/>
      <c r="T48" s="96"/>
      <c r="U48" s="97"/>
      <c r="V48" s="95"/>
      <c r="W48" s="96"/>
      <c r="X48" s="97"/>
      <c r="Y48" s="95"/>
      <c r="Z48" s="96"/>
      <c r="AA48" s="97"/>
      <c r="AB48" s="95"/>
      <c r="AC48" s="96"/>
      <c r="AD48" s="97"/>
      <c r="AE48" s="95"/>
      <c r="AF48" s="96"/>
      <c r="AG48" s="105"/>
      <c r="AH48" s="231">
        <f>+Janvier!AJ48</f>
        <v>1604.6703296703297</v>
      </c>
      <c r="AI48" s="231">
        <f>+Janvier!AK48</f>
        <v>4992.3076923076924</v>
      </c>
      <c r="AJ48" s="231">
        <f>+Janvier!AL48</f>
        <v>3744.2307692307691</v>
      </c>
      <c r="AK48" s="231">
        <f>+Janvier!AM48</f>
        <v>3744.2307692307691</v>
      </c>
      <c r="AL48" s="231">
        <f>+Janvier!AN48</f>
        <v>2269.2307692307695</v>
      </c>
      <c r="AM48" s="231">
        <f>+Janvier!AO48</f>
        <v>1404.0865384615383</v>
      </c>
      <c r="AN48" s="231">
        <f>+Janvier!AP48</f>
        <v>2808.1730769230767</v>
      </c>
      <c r="AO48" s="231">
        <f>+Janvier!AQ48</f>
        <v>1404.0865384615383</v>
      </c>
      <c r="AP48" s="231">
        <f>+Janvier!AR48</f>
        <v>1404.0865384615383</v>
      </c>
      <c r="AQ48" s="231">
        <f>+Janvier!AS48</f>
        <v>2496.1538461538462</v>
      </c>
      <c r="AR48" s="16">
        <f t="shared" si="78"/>
        <v>0</v>
      </c>
      <c r="AS48" s="16">
        <f t="shared" si="79"/>
        <v>0</v>
      </c>
      <c r="AT48" s="16">
        <f t="shared" si="80"/>
        <v>0</v>
      </c>
      <c r="AU48" s="16">
        <f t="shared" si="81"/>
        <v>0</v>
      </c>
      <c r="AV48" s="16">
        <f t="shared" si="82"/>
        <v>0</v>
      </c>
      <c r="AW48" s="16">
        <f t="shared" si="83"/>
        <v>0</v>
      </c>
      <c r="AX48" s="16">
        <f t="shared" si="84"/>
        <v>0</v>
      </c>
      <c r="AY48" s="16">
        <f t="shared" si="85"/>
        <v>0</v>
      </c>
      <c r="AZ48" s="16">
        <f t="shared" si="86"/>
        <v>0</v>
      </c>
      <c r="BA48" s="17">
        <f t="shared" si="87"/>
        <v>0</v>
      </c>
    </row>
    <row r="49" spans="1:53" ht="15.6" x14ac:dyDescent="0.3">
      <c r="A49" s="199" t="s">
        <v>51</v>
      </c>
      <c r="B49" s="94"/>
      <c r="C49" s="94"/>
      <c r="D49" s="107"/>
      <c r="E49" s="96"/>
      <c r="F49" s="97"/>
      <c r="G49" s="95"/>
      <c r="H49" s="96"/>
      <c r="I49" s="105"/>
      <c r="J49" s="95"/>
      <c r="K49" s="96"/>
      <c r="L49" s="97"/>
      <c r="M49" s="95"/>
      <c r="N49" s="96"/>
      <c r="O49" s="97"/>
      <c r="P49" s="95"/>
      <c r="Q49" s="96"/>
      <c r="R49" s="97"/>
      <c r="S49" s="95"/>
      <c r="T49" s="96"/>
      <c r="U49" s="97"/>
      <c r="V49" s="95"/>
      <c r="W49" s="96"/>
      <c r="X49" s="97"/>
      <c r="Y49" s="95"/>
      <c r="Z49" s="96"/>
      <c r="AA49" s="97"/>
      <c r="AB49" s="95"/>
      <c r="AC49" s="96"/>
      <c r="AD49" s="97"/>
      <c r="AE49" s="95"/>
      <c r="AF49" s="96"/>
      <c r="AG49" s="105"/>
      <c r="AH49" s="231">
        <f>+Janvier!AJ49</f>
        <v>1032.2802197802198</v>
      </c>
      <c r="AI49" s="231">
        <f>+Janvier!AK49</f>
        <v>3211.5384615384614</v>
      </c>
      <c r="AJ49" s="231">
        <f>+Janvier!AL49</f>
        <v>2408.6538461538462</v>
      </c>
      <c r="AK49" s="231">
        <f>+Janvier!AM49</f>
        <v>2408.6538461538462</v>
      </c>
      <c r="AL49" s="231">
        <f>+Janvier!AN49</f>
        <v>1459.7902097902099</v>
      </c>
      <c r="AM49" s="231">
        <f>+Janvier!AO49</f>
        <v>903.24519230769226</v>
      </c>
      <c r="AN49" s="231">
        <f>+Janvier!AP49</f>
        <v>1806.4903846153845</v>
      </c>
      <c r="AO49" s="231">
        <f>+Janvier!AQ49</f>
        <v>903.24519230769226</v>
      </c>
      <c r="AP49" s="231">
        <f>+Janvier!AR49</f>
        <v>903.24519230769226</v>
      </c>
      <c r="AQ49" s="231">
        <f>+Janvier!AS49</f>
        <v>1605.7692307692307</v>
      </c>
      <c r="AR49" s="16">
        <f t="shared" si="78"/>
        <v>0</v>
      </c>
      <c r="AS49" s="16">
        <f t="shared" si="79"/>
        <v>0</v>
      </c>
      <c r="AT49" s="16">
        <f t="shared" si="80"/>
        <v>0</v>
      </c>
      <c r="AU49" s="16">
        <f t="shared" si="81"/>
        <v>0</v>
      </c>
      <c r="AV49" s="16">
        <f t="shared" si="82"/>
        <v>0</v>
      </c>
      <c r="AW49" s="16">
        <f t="shared" si="83"/>
        <v>0</v>
      </c>
      <c r="AX49" s="16">
        <f t="shared" si="84"/>
        <v>0</v>
      </c>
      <c r="AY49" s="16">
        <f t="shared" si="85"/>
        <v>0</v>
      </c>
      <c r="AZ49" s="16">
        <f t="shared" si="86"/>
        <v>0</v>
      </c>
      <c r="BA49" s="17">
        <f t="shared" si="87"/>
        <v>0</v>
      </c>
    </row>
    <row r="50" spans="1:53" ht="15.6" x14ac:dyDescent="0.3">
      <c r="A50" s="199" t="s">
        <v>52</v>
      </c>
      <c r="B50" s="94"/>
      <c r="C50" s="94"/>
      <c r="D50" s="107"/>
      <c r="E50" s="96"/>
      <c r="F50" s="97"/>
      <c r="G50" s="95"/>
      <c r="H50" s="96"/>
      <c r="I50" s="105"/>
      <c r="J50" s="95"/>
      <c r="K50" s="96"/>
      <c r="L50" s="97"/>
      <c r="M50" s="95"/>
      <c r="N50" s="96"/>
      <c r="O50" s="97"/>
      <c r="P50" s="95"/>
      <c r="Q50" s="96"/>
      <c r="R50" s="97"/>
      <c r="S50" s="95"/>
      <c r="T50" s="96"/>
      <c r="U50" s="97"/>
      <c r="V50" s="95"/>
      <c r="W50" s="96"/>
      <c r="X50" s="97"/>
      <c r="Y50" s="95"/>
      <c r="Z50" s="96"/>
      <c r="AA50" s="97"/>
      <c r="AB50" s="95"/>
      <c r="AC50" s="96"/>
      <c r="AD50" s="97"/>
      <c r="AE50" s="95"/>
      <c r="AF50" s="96"/>
      <c r="AG50" s="105"/>
      <c r="AH50" s="231">
        <f>+Janvier!AJ50</f>
        <v>2981.6208791208792</v>
      </c>
      <c r="AI50" s="231">
        <f>+Janvier!AK50</f>
        <v>9276.1538461538476</v>
      </c>
      <c r="AJ50" s="231">
        <f>+Janvier!AL50</f>
        <v>6957.1153846153857</v>
      </c>
      <c r="AK50" s="231">
        <f>+Janvier!AM50</f>
        <v>6957.1153846153857</v>
      </c>
      <c r="AL50" s="231">
        <f>+Janvier!AN50</f>
        <v>4216.4335664335667</v>
      </c>
      <c r="AM50" s="231">
        <f>+Janvier!AO50</f>
        <v>2608.9182692307691</v>
      </c>
      <c r="AN50" s="231">
        <f>+Janvier!AP50</f>
        <v>5217.8365384615381</v>
      </c>
      <c r="AO50" s="231">
        <f>+Janvier!AQ50</f>
        <v>2608.9182692307691</v>
      </c>
      <c r="AP50" s="231">
        <f>+Janvier!AR50</f>
        <v>2608.9182692307691</v>
      </c>
      <c r="AQ50" s="231">
        <f>+Janvier!AS50</f>
        <v>4638.0769230769238</v>
      </c>
      <c r="AR50" s="16">
        <f t="shared" si="78"/>
        <v>0</v>
      </c>
      <c r="AS50" s="16">
        <f t="shared" si="79"/>
        <v>0</v>
      </c>
      <c r="AT50" s="16">
        <f t="shared" si="80"/>
        <v>0</v>
      </c>
      <c r="AU50" s="16">
        <f t="shared" si="81"/>
        <v>0</v>
      </c>
      <c r="AV50" s="16">
        <f t="shared" si="82"/>
        <v>0</v>
      </c>
      <c r="AW50" s="16">
        <f t="shared" si="83"/>
        <v>0</v>
      </c>
      <c r="AX50" s="16">
        <f t="shared" si="84"/>
        <v>0</v>
      </c>
      <c r="AY50" s="16">
        <f t="shared" si="85"/>
        <v>0</v>
      </c>
      <c r="AZ50" s="16">
        <f t="shared" si="86"/>
        <v>0</v>
      </c>
      <c r="BA50" s="17">
        <f t="shared" si="87"/>
        <v>0</v>
      </c>
    </row>
    <row r="51" spans="1:53" ht="15.6" x14ac:dyDescent="0.3">
      <c r="A51" s="199" t="s">
        <v>53</v>
      </c>
      <c r="B51" s="94"/>
      <c r="C51" s="94"/>
      <c r="D51" s="107"/>
      <c r="E51" s="96"/>
      <c r="F51" s="97"/>
      <c r="G51" s="95"/>
      <c r="H51" s="96"/>
      <c r="I51" s="105"/>
      <c r="J51" s="95"/>
      <c r="K51" s="96"/>
      <c r="L51" s="97"/>
      <c r="M51" s="95"/>
      <c r="N51" s="96"/>
      <c r="O51" s="97"/>
      <c r="P51" s="95"/>
      <c r="Q51" s="96"/>
      <c r="R51" s="97"/>
      <c r="S51" s="95"/>
      <c r="T51" s="96"/>
      <c r="U51" s="97"/>
      <c r="V51" s="95"/>
      <c r="W51" s="96"/>
      <c r="X51" s="97"/>
      <c r="Y51" s="95"/>
      <c r="Z51" s="96"/>
      <c r="AA51" s="97"/>
      <c r="AB51" s="95"/>
      <c r="AC51" s="96"/>
      <c r="AD51" s="97"/>
      <c r="AE51" s="95"/>
      <c r="AF51" s="96"/>
      <c r="AG51" s="105"/>
      <c r="AH51" s="231">
        <f>+Janvier!AJ51</f>
        <v>168.87362637362639</v>
      </c>
      <c r="AI51" s="231">
        <f>+Janvier!AK51</f>
        <v>525.38461538461547</v>
      </c>
      <c r="AJ51" s="231">
        <f>+Janvier!AL51</f>
        <v>394.0384615384616</v>
      </c>
      <c r="AK51" s="231">
        <f>+Janvier!AM51</f>
        <v>394.0384615384616</v>
      </c>
      <c r="AL51" s="231">
        <f>+Janvier!AN51</f>
        <v>238.81118881118883</v>
      </c>
      <c r="AM51" s="231">
        <f>+Janvier!AO51</f>
        <v>147.76442307692309</v>
      </c>
      <c r="AN51" s="231">
        <f>+Janvier!AP51</f>
        <v>295.52884615384619</v>
      </c>
      <c r="AO51" s="231">
        <f>+Janvier!AQ51</f>
        <v>147.76442307692309</v>
      </c>
      <c r="AP51" s="231">
        <f>+Janvier!AR51</f>
        <v>147.76442307692309</v>
      </c>
      <c r="AQ51" s="231">
        <f>+Janvier!AS51</f>
        <v>262.69230769230774</v>
      </c>
      <c r="AR51" s="16">
        <f t="shared" si="78"/>
        <v>0</v>
      </c>
      <c r="AS51" s="16">
        <f t="shared" si="79"/>
        <v>0</v>
      </c>
      <c r="AT51" s="16">
        <f t="shared" si="80"/>
        <v>0</v>
      </c>
      <c r="AU51" s="16">
        <f t="shared" si="81"/>
        <v>0</v>
      </c>
      <c r="AV51" s="16">
        <f t="shared" si="82"/>
        <v>0</v>
      </c>
      <c r="AW51" s="16">
        <f t="shared" si="83"/>
        <v>0</v>
      </c>
      <c r="AX51" s="16">
        <f t="shared" si="84"/>
        <v>0</v>
      </c>
      <c r="AY51" s="16">
        <f t="shared" si="85"/>
        <v>0</v>
      </c>
      <c r="AZ51" s="16">
        <f t="shared" si="86"/>
        <v>0</v>
      </c>
      <c r="BA51" s="17">
        <f t="shared" si="87"/>
        <v>0</v>
      </c>
    </row>
    <row r="52" spans="1:53" ht="15.6" x14ac:dyDescent="0.3">
      <c r="A52" s="199" t="s">
        <v>54</v>
      </c>
      <c r="B52" s="94"/>
      <c r="C52" s="94"/>
      <c r="D52" s="107"/>
      <c r="E52" s="96"/>
      <c r="F52" s="97"/>
      <c r="G52" s="95"/>
      <c r="H52" s="96"/>
      <c r="I52" s="105"/>
      <c r="J52" s="95"/>
      <c r="K52" s="96"/>
      <c r="L52" s="97"/>
      <c r="M52" s="95"/>
      <c r="N52" s="96"/>
      <c r="O52" s="97"/>
      <c r="P52" s="95"/>
      <c r="Q52" s="96"/>
      <c r="R52" s="97"/>
      <c r="S52" s="95"/>
      <c r="T52" s="96"/>
      <c r="U52" s="97"/>
      <c r="V52" s="95"/>
      <c r="W52" s="96"/>
      <c r="X52" s="97"/>
      <c r="Y52" s="95"/>
      <c r="Z52" s="96"/>
      <c r="AA52" s="97"/>
      <c r="AB52" s="95"/>
      <c r="AC52" s="96"/>
      <c r="AD52" s="97"/>
      <c r="AE52" s="95"/>
      <c r="AF52" s="96"/>
      <c r="AG52" s="105"/>
      <c r="AH52" s="231">
        <f>+Janvier!AJ52</f>
        <v>1001.7445054945053</v>
      </c>
      <c r="AI52" s="231">
        <f>+Janvier!AK52</f>
        <v>3116.5384615384614</v>
      </c>
      <c r="AJ52" s="231">
        <f>+Janvier!AL52</f>
        <v>2337.4038461538462</v>
      </c>
      <c r="AK52" s="231">
        <f>+Janvier!AM52</f>
        <v>2337.4038461538462</v>
      </c>
      <c r="AL52" s="231">
        <f>+Janvier!AN52</f>
        <v>1416.6083916083917</v>
      </c>
      <c r="AM52" s="231">
        <f>+Janvier!AO52</f>
        <v>876.52644230769226</v>
      </c>
      <c r="AN52" s="231">
        <f>+Janvier!AP52</f>
        <v>1753.0528846153845</v>
      </c>
      <c r="AO52" s="231">
        <f>+Janvier!AQ52</f>
        <v>876.52644230769226</v>
      </c>
      <c r="AP52" s="231">
        <f>+Janvier!AR52</f>
        <v>876.52644230769226</v>
      </c>
      <c r="AQ52" s="231">
        <f>+Janvier!AS52</f>
        <v>1558.2692307692307</v>
      </c>
      <c r="AR52" s="16">
        <f t="shared" si="78"/>
        <v>0</v>
      </c>
      <c r="AS52" s="16">
        <f t="shared" si="79"/>
        <v>0</v>
      </c>
      <c r="AT52" s="16">
        <f t="shared" si="80"/>
        <v>0</v>
      </c>
      <c r="AU52" s="16">
        <f t="shared" si="81"/>
        <v>0</v>
      </c>
      <c r="AV52" s="16">
        <f t="shared" si="82"/>
        <v>0</v>
      </c>
      <c r="AW52" s="16">
        <f t="shared" si="83"/>
        <v>0</v>
      </c>
      <c r="AX52" s="16">
        <f t="shared" si="84"/>
        <v>0</v>
      </c>
      <c r="AY52" s="16">
        <f t="shared" si="85"/>
        <v>0</v>
      </c>
      <c r="AZ52" s="16">
        <f t="shared" si="86"/>
        <v>0</v>
      </c>
      <c r="BA52" s="17">
        <f t="shared" si="87"/>
        <v>0</v>
      </c>
    </row>
    <row r="53" spans="1:53" ht="16.2" thickBot="1" x14ac:dyDescent="0.35">
      <c r="A53" s="200" t="s">
        <v>55</v>
      </c>
      <c r="B53" s="255"/>
      <c r="C53" s="255"/>
      <c r="D53" s="249"/>
      <c r="E53" s="260"/>
      <c r="F53" s="261"/>
      <c r="G53" s="111"/>
      <c r="H53" s="109"/>
      <c r="I53" s="112"/>
      <c r="J53" s="111"/>
      <c r="K53" s="109"/>
      <c r="L53" s="110"/>
      <c r="M53" s="111"/>
      <c r="N53" s="109"/>
      <c r="O53" s="110"/>
      <c r="P53" s="111"/>
      <c r="Q53" s="109"/>
      <c r="R53" s="110"/>
      <c r="S53" s="111"/>
      <c r="T53" s="109"/>
      <c r="U53" s="110"/>
      <c r="V53" s="111"/>
      <c r="W53" s="109"/>
      <c r="X53" s="110"/>
      <c r="Y53" s="111"/>
      <c r="Z53" s="109"/>
      <c r="AA53" s="110"/>
      <c r="AB53" s="111"/>
      <c r="AC53" s="109"/>
      <c r="AD53" s="110"/>
      <c r="AE53" s="111"/>
      <c r="AF53" s="109"/>
      <c r="AG53" s="112"/>
      <c r="AH53" s="231">
        <f>+Janvier!AJ53</f>
        <v>269.25824175824175</v>
      </c>
      <c r="AI53" s="231">
        <f>+Janvier!AK53</f>
        <v>837.69230769230774</v>
      </c>
      <c r="AJ53" s="231">
        <f>+Janvier!AL53</f>
        <v>628.26923076923083</v>
      </c>
      <c r="AK53" s="231">
        <f>+Janvier!AM53</f>
        <v>628.26923076923083</v>
      </c>
      <c r="AL53" s="231">
        <f>+Janvier!AN53</f>
        <v>380.76923076923083</v>
      </c>
      <c r="AM53" s="231">
        <f>+Janvier!AO53</f>
        <v>235.60096153846155</v>
      </c>
      <c r="AN53" s="231">
        <f>+Janvier!AP53</f>
        <v>471.20192307692309</v>
      </c>
      <c r="AO53" s="231">
        <f>+Janvier!AQ53</f>
        <v>235.60096153846155</v>
      </c>
      <c r="AP53" s="231">
        <f>+Janvier!AR53</f>
        <v>235.60096153846155</v>
      </c>
      <c r="AQ53" s="231">
        <f>+Janvier!AS53</f>
        <v>418.84615384615387</v>
      </c>
      <c r="AR53" s="32">
        <f t="shared" si="78"/>
        <v>0</v>
      </c>
      <c r="AS53" s="32">
        <f t="shared" si="79"/>
        <v>0</v>
      </c>
      <c r="AT53" s="32">
        <f t="shared" si="80"/>
        <v>0</v>
      </c>
      <c r="AU53" s="32">
        <f t="shared" si="81"/>
        <v>0</v>
      </c>
      <c r="AV53" s="32">
        <f t="shared" si="82"/>
        <v>0</v>
      </c>
      <c r="AW53" s="32">
        <f t="shared" si="83"/>
        <v>0</v>
      </c>
      <c r="AX53" s="32">
        <f t="shared" si="84"/>
        <v>0</v>
      </c>
      <c r="AY53" s="32">
        <f t="shared" si="85"/>
        <v>0</v>
      </c>
      <c r="AZ53" s="32">
        <f t="shared" si="86"/>
        <v>0</v>
      </c>
      <c r="BA53" s="33">
        <f t="shared" si="87"/>
        <v>0</v>
      </c>
    </row>
    <row r="54" spans="1:53" ht="15.6" x14ac:dyDescent="0.3">
      <c r="A54" s="201" t="s">
        <v>146</v>
      </c>
      <c r="B54" s="256"/>
      <c r="C54" s="259"/>
      <c r="D54" s="125"/>
      <c r="E54" s="123"/>
      <c r="F54" s="124"/>
      <c r="G54" s="125"/>
      <c r="H54" s="123"/>
      <c r="I54" s="124"/>
      <c r="J54" s="125"/>
      <c r="K54" s="123"/>
      <c r="L54" s="124"/>
      <c r="M54" s="125"/>
      <c r="N54" s="123"/>
      <c r="O54" s="124"/>
      <c r="P54" s="125"/>
      <c r="Q54" s="123"/>
      <c r="R54" s="124"/>
      <c r="S54" s="125"/>
      <c r="T54" s="123"/>
      <c r="U54" s="124"/>
      <c r="V54" s="125"/>
      <c r="W54" s="123"/>
      <c r="X54" s="124"/>
      <c r="Y54" s="125"/>
      <c r="Z54" s="123"/>
      <c r="AA54" s="124"/>
      <c r="AB54" s="125"/>
      <c r="AC54" s="123"/>
      <c r="AD54" s="124"/>
      <c r="AE54" s="125"/>
      <c r="AF54" s="123"/>
      <c r="AG54" s="124"/>
      <c r="AH54" s="265">
        <f>+Janvier!AJ54</f>
        <v>63310.376250000001</v>
      </c>
      <c r="AI54" s="231">
        <f>+Janvier!AK54</f>
        <v>217816.00961538462</v>
      </c>
      <c r="AJ54" s="231">
        <f>+Janvier!AL54</f>
        <v>145065.46240384618</v>
      </c>
      <c r="AK54" s="231">
        <f>+Janvier!AM54</f>
        <v>145065.46240384618</v>
      </c>
      <c r="AL54" s="231">
        <f>+Janvier!AN54</f>
        <v>91482.724038461543</v>
      </c>
      <c r="AM54" s="231">
        <f>+Janvier!AO54</f>
        <v>54454.002403846156</v>
      </c>
      <c r="AN54" s="231">
        <f>+Janvier!AP54</f>
        <v>108908.00480769231</v>
      </c>
      <c r="AO54" s="231">
        <f>+Janvier!AQ54</f>
        <v>54454.002403846156</v>
      </c>
      <c r="AP54" s="231">
        <f>+Janvier!AR54</f>
        <v>54454.002403846156</v>
      </c>
      <c r="AQ54" s="231">
        <f>+Janvier!AS54</f>
        <v>98286.038653846175</v>
      </c>
      <c r="AR54" s="16">
        <f>ROUND(E54/(AH54/15),0)</f>
        <v>0</v>
      </c>
      <c r="AS54" s="16">
        <f t="shared" ref="AS54" si="88">ROUND(H54/(AI54/15),0)</f>
        <v>0</v>
      </c>
      <c r="AT54" s="16">
        <f t="shared" ref="AT54" si="89">ROUND(K54/(AJ54/15),0)</f>
        <v>0</v>
      </c>
      <c r="AU54" s="16">
        <f t="shared" ref="AU54" si="90">ROUND(N54/(AK54/15),0)</f>
        <v>0</v>
      </c>
      <c r="AV54" s="16">
        <f t="shared" ref="AV54" si="91">ROUND(Q54/(AL54/15),0)</f>
        <v>0</v>
      </c>
      <c r="AW54" s="16">
        <f t="shared" ref="AW54" si="92">ROUND(T54/(AM54/15),0)</f>
        <v>0</v>
      </c>
      <c r="AX54" s="16">
        <f t="shared" ref="AX54" si="93">ROUND(W54/(AN54/15),0)</f>
        <v>0</v>
      </c>
      <c r="AY54" s="16">
        <f t="shared" ref="AY54" si="94">ROUND(Z54/(AO54/15),0)</f>
        <v>0</v>
      </c>
      <c r="AZ54" s="16">
        <f t="shared" ref="AZ54" si="95">ROUND(AC54/(AP54/15),0)</f>
        <v>0</v>
      </c>
      <c r="BA54" s="17">
        <f t="shared" ref="BA54" si="96">ROUND(AF54/(AQ54/15),0)</f>
        <v>0</v>
      </c>
    </row>
    <row r="55" spans="1:53" ht="15.6" x14ac:dyDescent="0.3">
      <c r="A55" s="199" t="s">
        <v>21</v>
      </c>
      <c r="B55" s="257"/>
      <c r="C55" s="233"/>
      <c r="D55" s="95"/>
      <c r="E55" s="96"/>
      <c r="F55" s="97"/>
      <c r="G55" s="95"/>
      <c r="H55" s="96"/>
      <c r="I55" s="97"/>
      <c r="J55" s="95"/>
      <c r="K55" s="96"/>
      <c r="L55" s="97"/>
      <c r="M55" s="95"/>
      <c r="N55" s="96"/>
      <c r="O55" s="97"/>
      <c r="P55" s="95"/>
      <c r="Q55" s="96"/>
      <c r="R55" s="97"/>
      <c r="S55" s="95"/>
      <c r="T55" s="96"/>
      <c r="U55" s="97"/>
      <c r="V55" s="95"/>
      <c r="W55" s="96"/>
      <c r="X55" s="97"/>
      <c r="Y55" s="95"/>
      <c r="Z55" s="96"/>
      <c r="AA55" s="97"/>
      <c r="AB55" s="95"/>
      <c r="AC55" s="96"/>
      <c r="AD55" s="97"/>
      <c r="AE55" s="95"/>
      <c r="AF55" s="96"/>
      <c r="AG55" s="97"/>
      <c r="AH55" s="265">
        <f>+Janvier!AJ55</f>
        <v>1099.4093406593406</v>
      </c>
      <c r="AI55" s="231">
        <f>+Janvier!AK55</f>
        <v>3420.3846153846152</v>
      </c>
      <c r="AJ55" s="231">
        <f>+Janvier!AL55</f>
        <v>2565.2884615384614</v>
      </c>
      <c r="AK55" s="231">
        <f>+Janvier!AM55</f>
        <v>2565.2884615384614</v>
      </c>
      <c r="AL55" s="231">
        <f>+Janvier!AN55</f>
        <v>1554.7202797202797</v>
      </c>
      <c r="AM55" s="231">
        <f>+Janvier!AO55</f>
        <v>961.98317307692309</v>
      </c>
      <c r="AN55" s="231">
        <f>+Janvier!AP55</f>
        <v>1923.9663461538462</v>
      </c>
      <c r="AO55" s="231">
        <f>+Janvier!AQ55</f>
        <v>961.98317307692309</v>
      </c>
      <c r="AP55" s="231">
        <f>+Janvier!AR55</f>
        <v>961.98317307692309</v>
      </c>
      <c r="AQ55" s="231">
        <f>+Janvier!AS55</f>
        <v>1710.1923076923076</v>
      </c>
      <c r="AR55" s="16">
        <f t="shared" ref="AR55:AR67" si="97">ROUND(E55/(AH55/5),0)</f>
        <v>0</v>
      </c>
      <c r="AS55" s="16">
        <f t="shared" ref="AS55:AS67" si="98">ROUND(H55/(AI55/5),0)</f>
        <v>0</v>
      </c>
      <c r="AT55" s="16">
        <f t="shared" ref="AT55:AT67" si="99">ROUND(K55/(AJ55/5),0)</f>
        <v>0</v>
      </c>
      <c r="AU55" s="16">
        <f t="shared" ref="AU55:AU67" si="100">ROUND(N55/(AK55/5),0)</f>
        <v>0</v>
      </c>
      <c r="AV55" s="16">
        <f t="shared" ref="AV55:AV67" si="101">ROUND(Q55/(AL55/5),0)</f>
        <v>0</v>
      </c>
      <c r="AW55" s="16">
        <f t="shared" ref="AW55:AW67" si="102">ROUND(T55/(AM55/5),0)</f>
        <v>0</v>
      </c>
      <c r="AX55" s="16">
        <f t="shared" ref="AX55:AX67" si="103">ROUND(W55/(AN55/5),0)</f>
        <v>0</v>
      </c>
      <c r="AY55" s="16">
        <f t="shared" ref="AY55:AY67" si="104">ROUND(Z55/(AO55/5),0)</f>
        <v>0</v>
      </c>
      <c r="AZ55" s="16">
        <f t="shared" ref="AZ55:AZ67" si="105">ROUND(AC55/(AP55/5),0)</f>
        <v>0</v>
      </c>
      <c r="BA55" s="17">
        <f t="shared" ref="BA55:BA67" si="106">ROUND(AF55/(AQ55/5),0)</f>
        <v>0</v>
      </c>
    </row>
    <row r="56" spans="1:53" ht="15.6" x14ac:dyDescent="0.3">
      <c r="A56" s="199" t="s">
        <v>22</v>
      </c>
      <c r="B56" s="257"/>
      <c r="C56" s="233"/>
      <c r="D56" s="95"/>
      <c r="E56" s="96"/>
      <c r="F56" s="97"/>
      <c r="G56" s="95"/>
      <c r="H56" s="96"/>
      <c r="I56" s="97"/>
      <c r="J56" s="95"/>
      <c r="K56" s="96"/>
      <c r="L56" s="97"/>
      <c r="M56" s="95"/>
      <c r="N56" s="96"/>
      <c r="O56" s="97"/>
      <c r="P56" s="95"/>
      <c r="Q56" s="96"/>
      <c r="R56" s="97"/>
      <c r="S56" s="95"/>
      <c r="T56" s="96"/>
      <c r="U56" s="97"/>
      <c r="V56" s="95"/>
      <c r="W56" s="96"/>
      <c r="X56" s="97"/>
      <c r="Y56" s="95"/>
      <c r="Z56" s="96"/>
      <c r="AA56" s="97"/>
      <c r="AB56" s="95"/>
      <c r="AC56" s="96"/>
      <c r="AD56" s="97"/>
      <c r="AE56" s="95"/>
      <c r="AF56" s="96"/>
      <c r="AG56" s="97"/>
      <c r="AH56" s="265">
        <f>+Janvier!AJ56</f>
        <v>434.54670329670336</v>
      </c>
      <c r="AI56" s="231">
        <f>+Janvier!AK56</f>
        <v>1351.9230769230767</v>
      </c>
      <c r="AJ56" s="231">
        <f>+Janvier!AL56</f>
        <v>1013.9423076923077</v>
      </c>
      <c r="AK56" s="231">
        <f>+Janvier!AM56</f>
        <v>1013.9423076923077</v>
      </c>
      <c r="AL56" s="231">
        <f>+Janvier!AN56</f>
        <v>614.51048951048949</v>
      </c>
      <c r="AM56" s="231">
        <f>+Janvier!AO56</f>
        <v>380.22836538461542</v>
      </c>
      <c r="AN56" s="231">
        <f>+Janvier!AP56</f>
        <v>760.45673076923083</v>
      </c>
      <c r="AO56" s="231">
        <f>+Janvier!AQ56</f>
        <v>380.22836538461542</v>
      </c>
      <c r="AP56" s="231">
        <f>+Janvier!AR56</f>
        <v>380.22836538461542</v>
      </c>
      <c r="AQ56" s="231">
        <f>+Janvier!AS56</f>
        <v>675.96153846153834</v>
      </c>
      <c r="AR56" s="16">
        <f t="shared" si="97"/>
        <v>0</v>
      </c>
      <c r="AS56" s="16">
        <f t="shared" si="98"/>
        <v>0</v>
      </c>
      <c r="AT56" s="16">
        <f t="shared" si="99"/>
        <v>0</v>
      </c>
      <c r="AU56" s="16">
        <f t="shared" si="100"/>
        <v>0</v>
      </c>
      <c r="AV56" s="16">
        <f t="shared" si="101"/>
        <v>0</v>
      </c>
      <c r="AW56" s="16">
        <f t="shared" si="102"/>
        <v>0</v>
      </c>
      <c r="AX56" s="16">
        <f t="shared" si="103"/>
        <v>0</v>
      </c>
      <c r="AY56" s="16">
        <f t="shared" si="104"/>
        <v>0</v>
      </c>
      <c r="AZ56" s="16">
        <f t="shared" si="105"/>
        <v>0</v>
      </c>
      <c r="BA56" s="17">
        <f t="shared" si="106"/>
        <v>0</v>
      </c>
    </row>
    <row r="57" spans="1:53" ht="15.6" x14ac:dyDescent="0.3">
      <c r="A57" s="199" t="s">
        <v>25</v>
      </c>
      <c r="B57" s="257"/>
      <c r="C57" s="233"/>
      <c r="D57" s="95"/>
      <c r="E57" s="96"/>
      <c r="F57" s="97"/>
      <c r="G57" s="95"/>
      <c r="H57" s="96"/>
      <c r="I57" s="97"/>
      <c r="J57" s="95"/>
      <c r="K57" s="96"/>
      <c r="L57" s="97"/>
      <c r="M57" s="95"/>
      <c r="N57" s="96"/>
      <c r="O57" s="97"/>
      <c r="P57" s="95"/>
      <c r="Q57" s="96"/>
      <c r="R57" s="97"/>
      <c r="S57" s="95"/>
      <c r="T57" s="96"/>
      <c r="U57" s="97"/>
      <c r="V57" s="95"/>
      <c r="W57" s="96"/>
      <c r="X57" s="97"/>
      <c r="Y57" s="95"/>
      <c r="Z57" s="96"/>
      <c r="AA57" s="97"/>
      <c r="AB57" s="95"/>
      <c r="AC57" s="96"/>
      <c r="AD57" s="97"/>
      <c r="AE57" s="95"/>
      <c r="AF57" s="96"/>
      <c r="AG57" s="97"/>
      <c r="AH57" s="265">
        <f>+Janvier!AJ57</f>
        <v>816.30494505494516</v>
      </c>
      <c r="AI57" s="231">
        <f>+Janvier!AK57</f>
        <v>2539.6153846153848</v>
      </c>
      <c r="AJ57" s="231">
        <f>+Janvier!AL57</f>
        <v>1904.7115384615383</v>
      </c>
      <c r="AK57" s="231">
        <f>+Janvier!AM57</f>
        <v>1904.7115384615383</v>
      </c>
      <c r="AL57" s="231">
        <f>+Janvier!AN57</f>
        <v>1154.3706293706296</v>
      </c>
      <c r="AM57" s="231">
        <f>+Janvier!AO57</f>
        <v>714.26682692307691</v>
      </c>
      <c r="AN57" s="231">
        <f>+Janvier!AP57</f>
        <v>1428.5336538461538</v>
      </c>
      <c r="AO57" s="231">
        <f>+Janvier!AQ57</f>
        <v>714.26682692307691</v>
      </c>
      <c r="AP57" s="231">
        <f>+Janvier!AR57</f>
        <v>714.26682692307691</v>
      </c>
      <c r="AQ57" s="231">
        <f>+Janvier!AS57</f>
        <v>1269.8076923076924</v>
      </c>
      <c r="AR57" s="16">
        <f t="shared" si="97"/>
        <v>0</v>
      </c>
      <c r="AS57" s="16">
        <f t="shared" si="98"/>
        <v>0</v>
      </c>
      <c r="AT57" s="16">
        <f t="shared" si="99"/>
        <v>0</v>
      </c>
      <c r="AU57" s="16">
        <f t="shared" si="100"/>
        <v>0</v>
      </c>
      <c r="AV57" s="16">
        <f t="shared" si="101"/>
        <v>0</v>
      </c>
      <c r="AW57" s="16">
        <f t="shared" si="102"/>
        <v>0</v>
      </c>
      <c r="AX57" s="16">
        <f t="shared" si="103"/>
        <v>0</v>
      </c>
      <c r="AY57" s="16">
        <f t="shared" si="104"/>
        <v>0</v>
      </c>
      <c r="AZ57" s="16">
        <f t="shared" si="105"/>
        <v>0</v>
      </c>
      <c r="BA57" s="17">
        <f t="shared" si="106"/>
        <v>0</v>
      </c>
    </row>
    <row r="58" spans="1:53" ht="15.6" x14ac:dyDescent="0.3">
      <c r="A58" s="199" t="s">
        <v>23</v>
      </c>
      <c r="B58" s="257"/>
      <c r="C58" s="233"/>
      <c r="D58" s="95"/>
      <c r="E58" s="96"/>
      <c r="F58" s="97"/>
      <c r="G58" s="95"/>
      <c r="H58" s="96"/>
      <c r="I58" s="97"/>
      <c r="J58" s="95"/>
      <c r="K58" s="96"/>
      <c r="L58" s="97"/>
      <c r="M58" s="95"/>
      <c r="N58" s="96"/>
      <c r="O58" s="97"/>
      <c r="P58" s="95"/>
      <c r="Q58" s="96"/>
      <c r="R58" s="97"/>
      <c r="S58" s="95"/>
      <c r="T58" s="96"/>
      <c r="U58" s="97"/>
      <c r="V58" s="95"/>
      <c r="W58" s="96"/>
      <c r="X58" s="97"/>
      <c r="Y58" s="95"/>
      <c r="Z58" s="96"/>
      <c r="AA58" s="97"/>
      <c r="AB58" s="95"/>
      <c r="AC58" s="96"/>
      <c r="AD58" s="97"/>
      <c r="AE58" s="95"/>
      <c r="AF58" s="96"/>
      <c r="AG58" s="97"/>
      <c r="AH58" s="265">
        <f>+Janvier!AJ58</f>
        <v>510.08241758241758</v>
      </c>
      <c r="AI58" s="231">
        <f>+Janvier!AK58</f>
        <v>1586.9230769230767</v>
      </c>
      <c r="AJ58" s="231">
        <f>+Janvier!AL58</f>
        <v>1190.1923076923078</v>
      </c>
      <c r="AK58" s="231">
        <f>+Janvier!AM58</f>
        <v>1190.1923076923078</v>
      </c>
      <c r="AL58" s="231">
        <f>+Janvier!AN58</f>
        <v>721.32867132867148</v>
      </c>
      <c r="AM58" s="231">
        <f>+Janvier!AO58</f>
        <v>446.32211538461542</v>
      </c>
      <c r="AN58" s="231">
        <f>+Janvier!AP58</f>
        <v>892.64423076923083</v>
      </c>
      <c r="AO58" s="231">
        <f>+Janvier!AQ58</f>
        <v>446.32211538461542</v>
      </c>
      <c r="AP58" s="231">
        <f>+Janvier!AR58</f>
        <v>446.32211538461542</v>
      </c>
      <c r="AQ58" s="231">
        <f>+Janvier!AS58</f>
        <v>793.46153846153834</v>
      </c>
      <c r="AR58" s="16">
        <f t="shared" si="97"/>
        <v>0</v>
      </c>
      <c r="AS58" s="16">
        <f t="shared" si="98"/>
        <v>0</v>
      </c>
      <c r="AT58" s="16">
        <f t="shared" si="99"/>
        <v>0</v>
      </c>
      <c r="AU58" s="16">
        <f t="shared" si="100"/>
        <v>0</v>
      </c>
      <c r="AV58" s="16">
        <f t="shared" si="101"/>
        <v>0</v>
      </c>
      <c r="AW58" s="16">
        <f t="shared" si="102"/>
        <v>0</v>
      </c>
      <c r="AX58" s="16">
        <f t="shared" si="103"/>
        <v>0</v>
      </c>
      <c r="AY58" s="16">
        <f t="shared" si="104"/>
        <v>0</v>
      </c>
      <c r="AZ58" s="16">
        <f t="shared" si="105"/>
        <v>0</v>
      </c>
      <c r="BA58" s="17">
        <f t="shared" si="106"/>
        <v>0</v>
      </c>
    </row>
    <row r="59" spans="1:53" ht="15.6" x14ac:dyDescent="0.3">
      <c r="A59" s="199" t="s">
        <v>24</v>
      </c>
      <c r="B59" s="257"/>
      <c r="C59" s="233"/>
      <c r="D59" s="95"/>
      <c r="E59" s="96"/>
      <c r="F59" s="97"/>
      <c r="G59" s="95"/>
      <c r="H59" s="96"/>
      <c r="I59" s="97"/>
      <c r="J59" s="95"/>
      <c r="K59" s="96"/>
      <c r="L59" s="97"/>
      <c r="M59" s="95"/>
      <c r="N59" s="96"/>
      <c r="O59" s="97"/>
      <c r="P59" s="95"/>
      <c r="Q59" s="96"/>
      <c r="R59" s="97"/>
      <c r="S59" s="95"/>
      <c r="T59" s="96"/>
      <c r="U59" s="97"/>
      <c r="V59" s="95"/>
      <c r="W59" s="96"/>
      <c r="X59" s="97"/>
      <c r="Y59" s="95"/>
      <c r="Z59" s="96"/>
      <c r="AA59" s="97"/>
      <c r="AB59" s="95"/>
      <c r="AC59" s="96"/>
      <c r="AD59" s="97"/>
      <c r="AE59" s="95"/>
      <c r="AF59" s="96"/>
      <c r="AG59" s="97"/>
      <c r="AH59" s="265">
        <f>+Janvier!AJ59</f>
        <v>646.8131868131868</v>
      </c>
      <c r="AI59" s="231">
        <f>+Janvier!AK59</f>
        <v>2012.3076923076924</v>
      </c>
      <c r="AJ59" s="231">
        <f>+Janvier!AL59</f>
        <v>1509.2307692307693</v>
      </c>
      <c r="AK59" s="231">
        <f>+Janvier!AM59</f>
        <v>1509.2307692307693</v>
      </c>
      <c r="AL59" s="231">
        <f>+Janvier!AN59</f>
        <v>914.68531468531478</v>
      </c>
      <c r="AM59" s="231">
        <f>+Janvier!AO59</f>
        <v>565.96153846153845</v>
      </c>
      <c r="AN59" s="231">
        <f>+Janvier!AP59</f>
        <v>1131.9230769230769</v>
      </c>
      <c r="AO59" s="231">
        <f>+Janvier!AQ59</f>
        <v>565.96153846153845</v>
      </c>
      <c r="AP59" s="231">
        <f>+Janvier!AR59</f>
        <v>565.96153846153845</v>
      </c>
      <c r="AQ59" s="231">
        <f>+Janvier!AS59</f>
        <v>1006.1538461538462</v>
      </c>
      <c r="AR59" s="16">
        <f t="shared" si="97"/>
        <v>0</v>
      </c>
      <c r="AS59" s="16">
        <f t="shared" si="98"/>
        <v>0</v>
      </c>
      <c r="AT59" s="16">
        <f t="shared" si="99"/>
        <v>0</v>
      </c>
      <c r="AU59" s="16">
        <f t="shared" si="100"/>
        <v>0</v>
      </c>
      <c r="AV59" s="16">
        <f t="shared" si="101"/>
        <v>0</v>
      </c>
      <c r="AW59" s="16">
        <f t="shared" si="102"/>
        <v>0</v>
      </c>
      <c r="AX59" s="16">
        <f t="shared" si="103"/>
        <v>0</v>
      </c>
      <c r="AY59" s="16">
        <f t="shared" si="104"/>
        <v>0</v>
      </c>
      <c r="AZ59" s="16">
        <f t="shared" si="105"/>
        <v>0</v>
      </c>
      <c r="BA59" s="17">
        <f t="shared" si="106"/>
        <v>0</v>
      </c>
    </row>
    <row r="60" spans="1:53" ht="15.6" x14ac:dyDescent="0.3">
      <c r="A60" s="199" t="s">
        <v>26</v>
      </c>
      <c r="B60" s="257"/>
      <c r="C60" s="233"/>
      <c r="D60" s="95"/>
      <c r="E60" s="96"/>
      <c r="F60" s="97"/>
      <c r="G60" s="95"/>
      <c r="H60" s="96"/>
      <c r="I60" s="97"/>
      <c r="J60" s="95"/>
      <c r="K60" s="96"/>
      <c r="L60" s="97"/>
      <c r="M60" s="95"/>
      <c r="N60" s="96"/>
      <c r="O60" s="97"/>
      <c r="P60" s="95"/>
      <c r="Q60" s="96"/>
      <c r="R60" s="97"/>
      <c r="S60" s="95"/>
      <c r="T60" s="96"/>
      <c r="U60" s="97"/>
      <c r="V60" s="95"/>
      <c r="W60" s="96"/>
      <c r="X60" s="97"/>
      <c r="Y60" s="95"/>
      <c r="Z60" s="96"/>
      <c r="AA60" s="97"/>
      <c r="AB60" s="95"/>
      <c r="AC60" s="96"/>
      <c r="AD60" s="97"/>
      <c r="AE60" s="95"/>
      <c r="AF60" s="96"/>
      <c r="AG60" s="97"/>
      <c r="AH60" s="265">
        <f>+Janvier!AJ60</f>
        <v>2337.1565934065934</v>
      </c>
      <c r="AI60" s="231">
        <f>+Janvier!AK60</f>
        <v>7271.1538461538466</v>
      </c>
      <c r="AJ60" s="231">
        <f>+Janvier!AL60</f>
        <v>5453.3653846153848</v>
      </c>
      <c r="AK60" s="231">
        <f>+Janvier!AM60</f>
        <v>5453.3653846153848</v>
      </c>
      <c r="AL60" s="231">
        <f>+Janvier!AN60</f>
        <v>3305.0699300699303</v>
      </c>
      <c r="AM60" s="231">
        <f>+Janvier!AO60</f>
        <v>2045.0120192307693</v>
      </c>
      <c r="AN60" s="231">
        <f>+Janvier!AP60</f>
        <v>4090.0240384615386</v>
      </c>
      <c r="AO60" s="231">
        <f>+Janvier!AQ60</f>
        <v>2045.0120192307693</v>
      </c>
      <c r="AP60" s="231">
        <f>+Janvier!AR60</f>
        <v>2045.0120192307693</v>
      </c>
      <c r="AQ60" s="231">
        <f>+Janvier!AS60</f>
        <v>3635.5769230769233</v>
      </c>
      <c r="AR60" s="16">
        <f t="shared" si="97"/>
        <v>0</v>
      </c>
      <c r="AS60" s="16">
        <f t="shared" si="98"/>
        <v>0</v>
      </c>
      <c r="AT60" s="16">
        <f t="shared" si="99"/>
        <v>0</v>
      </c>
      <c r="AU60" s="16">
        <f t="shared" si="100"/>
        <v>0</v>
      </c>
      <c r="AV60" s="16">
        <f t="shared" si="101"/>
        <v>0</v>
      </c>
      <c r="AW60" s="16">
        <f t="shared" si="102"/>
        <v>0</v>
      </c>
      <c r="AX60" s="16">
        <f t="shared" si="103"/>
        <v>0</v>
      </c>
      <c r="AY60" s="16">
        <f t="shared" si="104"/>
        <v>0</v>
      </c>
      <c r="AZ60" s="16">
        <f t="shared" si="105"/>
        <v>0</v>
      </c>
      <c r="BA60" s="17">
        <f t="shared" si="106"/>
        <v>0</v>
      </c>
    </row>
    <row r="61" spans="1:53" ht="15.6" x14ac:dyDescent="0.3">
      <c r="A61" s="199" t="s">
        <v>27</v>
      </c>
      <c r="B61" s="257"/>
      <c r="C61" s="233"/>
      <c r="D61" s="95"/>
      <c r="E61" s="96"/>
      <c r="F61" s="97"/>
      <c r="G61" s="95"/>
      <c r="H61" s="96"/>
      <c r="I61" s="97"/>
      <c r="J61" s="95"/>
      <c r="K61" s="96"/>
      <c r="L61" s="97"/>
      <c r="M61" s="95"/>
      <c r="N61" s="96"/>
      <c r="O61" s="97"/>
      <c r="P61" s="95"/>
      <c r="Q61" s="96"/>
      <c r="R61" s="97"/>
      <c r="S61" s="95"/>
      <c r="T61" s="96"/>
      <c r="U61" s="97"/>
      <c r="V61" s="95"/>
      <c r="W61" s="96"/>
      <c r="X61" s="97"/>
      <c r="Y61" s="95"/>
      <c r="Z61" s="96"/>
      <c r="AA61" s="97"/>
      <c r="AB61" s="95"/>
      <c r="AC61" s="96"/>
      <c r="AD61" s="97"/>
      <c r="AE61" s="95"/>
      <c r="AF61" s="96"/>
      <c r="AG61" s="97"/>
      <c r="AH61" s="265">
        <f>+Janvier!AJ61</f>
        <v>1836.5934065934064</v>
      </c>
      <c r="AI61" s="231">
        <f>+Janvier!AK61</f>
        <v>5713.8461538461534</v>
      </c>
      <c r="AJ61" s="231">
        <f>+Janvier!AL61</f>
        <v>4285.3846153846152</v>
      </c>
      <c r="AK61" s="231">
        <f>+Janvier!AM61</f>
        <v>4285.3846153846152</v>
      </c>
      <c r="AL61" s="231">
        <f>+Janvier!AN61</f>
        <v>2597.2027972027972</v>
      </c>
      <c r="AM61" s="231">
        <f>+Janvier!AO61</f>
        <v>1607.0192307692307</v>
      </c>
      <c r="AN61" s="231">
        <f>+Janvier!AP61</f>
        <v>3214.0384615384614</v>
      </c>
      <c r="AO61" s="231">
        <f>+Janvier!AQ61</f>
        <v>1607.0192307692307</v>
      </c>
      <c r="AP61" s="231">
        <f>+Janvier!AR61</f>
        <v>1607.0192307692307</v>
      </c>
      <c r="AQ61" s="231">
        <f>+Janvier!AS61</f>
        <v>2856.9230769230767</v>
      </c>
      <c r="AR61" s="16">
        <f t="shared" si="97"/>
        <v>0</v>
      </c>
      <c r="AS61" s="16">
        <f t="shared" si="98"/>
        <v>0</v>
      </c>
      <c r="AT61" s="16">
        <f t="shared" si="99"/>
        <v>0</v>
      </c>
      <c r="AU61" s="16">
        <f t="shared" si="100"/>
        <v>0</v>
      </c>
      <c r="AV61" s="16">
        <f t="shared" si="101"/>
        <v>0</v>
      </c>
      <c r="AW61" s="16">
        <f t="shared" si="102"/>
        <v>0</v>
      </c>
      <c r="AX61" s="16">
        <f t="shared" si="103"/>
        <v>0</v>
      </c>
      <c r="AY61" s="16">
        <f t="shared" si="104"/>
        <v>0</v>
      </c>
      <c r="AZ61" s="16">
        <f t="shared" si="105"/>
        <v>0</v>
      </c>
      <c r="BA61" s="17">
        <f t="shared" si="106"/>
        <v>0</v>
      </c>
    </row>
    <row r="62" spans="1:53" ht="15.6" x14ac:dyDescent="0.3">
      <c r="A62" s="199" t="s">
        <v>28</v>
      </c>
      <c r="B62" s="257"/>
      <c r="C62" s="233"/>
      <c r="D62" s="95"/>
      <c r="E62" s="98"/>
      <c r="F62" s="97"/>
      <c r="G62" s="99"/>
      <c r="H62" s="98"/>
      <c r="I62" s="97"/>
      <c r="J62" s="99"/>
      <c r="K62" s="98"/>
      <c r="L62" s="97"/>
      <c r="M62" s="99"/>
      <c r="N62" s="98"/>
      <c r="O62" s="97"/>
      <c r="P62" s="99"/>
      <c r="Q62" s="98"/>
      <c r="R62" s="97"/>
      <c r="S62" s="99"/>
      <c r="T62" s="98"/>
      <c r="U62" s="97"/>
      <c r="V62" s="99"/>
      <c r="W62" s="98"/>
      <c r="X62" s="97"/>
      <c r="Y62" s="99"/>
      <c r="Z62" s="98"/>
      <c r="AA62" s="97"/>
      <c r="AB62" s="95"/>
      <c r="AC62" s="98"/>
      <c r="AD62" s="100"/>
      <c r="AE62" s="99"/>
      <c r="AF62" s="98"/>
      <c r="AG62" s="97"/>
      <c r="AH62" s="265">
        <f>+Janvier!AJ62</f>
        <v>3546.2225274725279</v>
      </c>
      <c r="AI62" s="231">
        <f>+Janvier!AK62</f>
        <v>11032.692307692307</v>
      </c>
      <c r="AJ62" s="231">
        <f>+Janvier!AL62</f>
        <v>8274.5192307692305</v>
      </c>
      <c r="AK62" s="231">
        <f>+Janvier!AM62</f>
        <v>8274.5192307692305</v>
      </c>
      <c r="AL62" s="231">
        <f>+Janvier!AN62</f>
        <v>5014.8601398601395</v>
      </c>
      <c r="AM62" s="231">
        <f>+Janvier!AO62</f>
        <v>3102.9447115384614</v>
      </c>
      <c r="AN62" s="231">
        <f>+Janvier!AP62</f>
        <v>6205.8894230769229</v>
      </c>
      <c r="AO62" s="231">
        <f>+Janvier!AQ62</f>
        <v>3102.9447115384614</v>
      </c>
      <c r="AP62" s="231">
        <f>+Janvier!AR62</f>
        <v>3102.9447115384614</v>
      </c>
      <c r="AQ62" s="231">
        <f>+Janvier!AS62</f>
        <v>5516.3461538461534</v>
      </c>
      <c r="AR62" s="16">
        <f t="shared" si="97"/>
        <v>0</v>
      </c>
      <c r="AS62" s="16">
        <f t="shared" si="98"/>
        <v>0</v>
      </c>
      <c r="AT62" s="16">
        <f t="shared" si="99"/>
        <v>0</v>
      </c>
      <c r="AU62" s="16">
        <f t="shared" si="100"/>
        <v>0</v>
      </c>
      <c r="AV62" s="16">
        <f t="shared" si="101"/>
        <v>0</v>
      </c>
      <c r="AW62" s="16">
        <f t="shared" si="102"/>
        <v>0</v>
      </c>
      <c r="AX62" s="16">
        <f t="shared" si="103"/>
        <v>0</v>
      </c>
      <c r="AY62" s="16">
        <f t="shared" si="104"/>
        <v>0</v>
      </c>
      <c r="AZ62" s="16">
        <f t="shared" si="105"/>
        <v>0</v>
      </c>
      <c r="BA62" s="17">
        <f t="shared" si="106"/>
        <v>0</v>
      </c>
    </row>
    <row r="63" spans="1:53" ht="15.6" x14ac:dyDescent="0.3">
      <c r="A63" s="199" t="s">
        <v>29</v>
      </c>
      <c r="B63" s="257"/>
      <c r="C63" s="233"/>
      <c r="D63" s="95"/>
      <c r="E63" s="98"/>
      <c r="F63" s="97"/>
      <c r="G63" s="99"/>
      <c r="H63" s="98"/>
      <c r="I63" s="97"/>
      <c r="J63" s="99"/>
      <c r="K63" s="98"/>
      <c r="L63" s="97"/>
      <c r="M63" s="99"/>
      <c r="N63" s="98"/>
      <c r="O63" s="97"/>
      <c r="P63" s="99"/>
      <c r="Q63" s="98"/>
      <c r="R63" s="97"/>
      <c r="S63" s="99"/>
      <c r="T63" s="98"/>
      <c r="U63" s="97"/>
      <c r="V63" s="99"/>
      <c r="W63" s="98"/>
      <c r="X63" s="97"/>
      <c r="Y63" s="99"/>
      <c r="Z63" s="98"/>
      <c r="AA63" s="97"/>
      <c r="AB63" s="95"/>
      <c r="AC63" s="98"/>
      <c r="AD63" s="97"/>
      <c r="AE63" s="99"/>
      <c r="AF63" s="98"/>
      <c r="AG63" s="97"/>
      <c r="AH63" s="265">
        <f>+Janvier!AJ63</f>
        <v>2493.4203296703299</v>
      </c>
      <c r="AI63" s="231">
        <f>+Janvier!AK63</f>
        <v>7757.3076923076942</v>
      </c>
      <c r="AJ63" s="231">
        <f>+Janvier!AL63</f>
        <v>5817.9807692307704</v>
      </c>
      <c r="AK63" s="231">
        <f>+Janvier!AM63</f>
        <v>5817.9807692307704</v>
      </c>
      <c r="AL63" s="231">
        <f>+Janvier!AN63</f>
        <v>3526.0489510489515</v>
      </c>
      <c r="AM63" s="231">
        <f>+Janvier!AO63</f>
        <v>2181.7427884615386</v>
      </c>
      <c r="AN63" s="231">
        <f>+Janvier!AP63</f>
        <v>4363.4855769230771</v>
      </c>
      <c r="AO63" s="231">
        <f>+Janvier!AQ63</f>
        <v>2181.7427884615386</v>
      </c>
      <c r="AP63" s="231">
        <f>+Janvier!AR63</f>
        <v>2181.7427884615386</v>
      </c>
      <c r="AQ63" s="231">
        <f>+Janvier!AS63</f>
        <v>3878.6538461538471</v>
      </c>
      <c r="AR63" s="16">
        <f t="shared" si="97"/>
        <v>0</v>
      </c>
      <c r="AS63" s="16">
        <f t="shared" si="98"/>
        <v>0</v>
      </c>
      <c r="AT63" s="16">
        <f t="shared" si="99"/>
        <v>0</v>
      </c>
      <c r="AU63" s="16">
        <f t="shared" si="100"/>
        <v>0</v>
      </c>
      <c r="AV63" s="16">
        <f t="shared" si="101"/>
        <v>0</v>
      </c>
      <c r="AW63" s="16">
        <f t="shared" si="102"/>
        <v>0</v>
      </c>
      <c r="AX63" s="16">
        <f t="shared" si="103"/>
        <v>0</v>
      </c>
      <c r="AY63" s="16">
        <f t="shared" si="104"/>
        <v>0</v>
      </c>
      <c r="AZ63" s="16">
        <f t="shared" si="105"/>
        <v>0</v>
      </c>
      <c r="BA63" s="17">
        <f t="shared" si="106"/>
        <v>0</v>
      </c>
    </row>
    <row r="64" spans="1:53" ht="15.6" x14ac:dyDescent="0.3">
      <c r="A64" s="199" t="s">
        <v>30</v>
      </c>
      <c r="B64" s="257"/>
      <c r="C64" s="233"/>
      <c r="D64" s="95"/>
      <c r="E64" s="98"/>
      <c r="F64" s="97"/>
      <c r="G64" s="99"/>
      <c r="H64" s="98"/>
      <c r="I64" s="97"/>
      <c r="J64" s="99"/>
      <c r="K64" s="98"/>
      <c r="L64" s="97"/>
      <c r="M64" s="99"/>
      <c r="N64" s="98"/>
      <c r="O64" s="97"/>
      <c r="P64" s="99"/>
      <c r="Q64" s="98"/>
      <c r="R64" s="97"/>
      <c r="S64" s="99"/>
      <c r="T64" s="98"/>
      <c r="U64" s="97"/>
      <c r="V64" s="99"/>
      <c r="W64" s="98"/>
      <c r="X64" s="97"/>
      <c r="Y64" s="99"/>
      <c r="Z64" s="98"/>
      <c r="AA64" s="97"/>
      <c r="AB64" s="95"/>
      <c r="AC64" s="98"/>
      <c r="AD64" s="97"/>
      <c r="AE64" s="99"/>
      <c r="AF64" s="98"/>
      <c r="AG64" s="97"/>
      <c r="AH64" s="265">
        <f>+Janvier!AJ64</f>
        <v>1338.1318681318683</v>
      </c>
      <c r="AI64" s="231">
        <f>+Janvier!AK64</f>
        <v>4163.0769230769229</v>
      </c>
      <c r="AJ64" s="231">
        <f>+Janvier!AL64</f>
        <v>3122.3076923076928</v>
      </c>
      <c r="AK64" s="231">
        <f>+Janvier!AM64</f>
        <v>3122.3076923076928</v>
      </c>
      <c r="AL64" s="231">
        <f>+Janvier!AN64</f>
        <v>1892.3076923076926</v>
      </c>
      <c r="AM64" s="231">
        <f>+Janvier!AO64</f>
        <v>1170.8653846153848</v>
      </c>
      <c r="AN64" s="231">
        <f>+Janvier!AP64</f>
        <v>2341.7307692307695</v>
      </c>
      <c r="AO64" s="231">
        <f>+Janvier!AQ64</f>
        <v>1170.8653846153848</v>
      </c>
      <c r="AP64" s="231">
        <f>+Janvier!AR64</f>
        <v>1170.8653846153848</v>
      </c>
      <c r="AQ64" s="231">
        <f>+Janvier!AS64</f>
        <v>2081.5384615384614</v>
      </c>
      <c r="AR64" s="16">
        <f t="shared" si="97"/>
        <v>0</v>
      </c>
      <c r="AS64" s="16">
        <f t="shared" si="98"/>
        <v>0</v>
      </c>
      <c r="AT64" s="16">
        <f t="shared" si="99"/>
        <v>0</v>
      </c>
      <c r="AU64" s="16">
        <f t="shared" si="100"/>
        <v>0</v>
      </c>
      <c r="AV64" s="16">
        <f t="shared" si="101"/>
        <v>0</v>
      </c>
      <c r="AW64" s="16">
        <f t="shared" si="102"/>
        <v>0</v>
      </c>
      <c r="AX64" s="16">
        <f t="shared" si="103"/>
        <v>0</v>
      </c>
      <c r="AY64" s="16">
        <f t="shared" si="104"/>
        <v>0</v>
      </c>
      <c r="AZ64" s="16">
        <f t="shared" si="105"/>
        <v>0</v>
      </c>
      <c r="BA64" s="17">
        <f t="shared" si="106"/>
        <v>0</v>
      </c>
    </row>
    <row r="65" spans="1:53" ht="15.6" x14ac:dyDescent="0.3">
      <c r="A65" s="199" t="s">
        <v>31</v>
      </c>
      <c r="B65" s="257"/>
      <c r="C65" s="233"/>
      <c r="D65" s="95"/>
      <c r="E65" s="98"/>
      <c r="F65" s="97"/>
      <c r="G65" s="99"/>
      <c r="H65" s="98"/>
      <c r="I65" s="97"/>
      <c r="J65" s="99"/>
      <c r="K65" s="98"/>
      <c r="L65" s="97"/>
      <c r="M65" s="99"/>
      <c r="N65" s="98"/>
      <c r="O65" s="97"/>
      <c r="P65" s="99"/>
      <c r="Q65" s="98"/>
      <c r="R65" s="97"/>
      <c r="S65" s="99"/>
      <c r="T65" s="98"/>
      <c r="U65" s="97"/>
      <c r="V65" s="99"/>
      <c r="W65" s="98"/>
      <c r="X65" s="97"/>
      <c r="Y65" s="99"/>
      <c r="Z65" s="98"/>
      <c r="AA65" s="97"/>
      <c r="AB65" s="95"/>
      <c r="AC65" s="98"/>
      <c r="AD65" s="97"/>
      <c r="AE65" s="99"/>
      <c r="AF65" s="98"/>
      <c r="AG65" s="97"/>
      <c r="AH65" s="265">
        <f>+Janvier!AJ65</f>
        <v>2561.7857142857147</v>
      </c>
      <c r="AI65" s="231">
        <f>+Janvier!AK65</f>
        <v>7970</v>
      </c>
      <c r="AJ65" s="231">
        <f>+Janvier!AL65</f>
        <v>5977.4999999999991</v>
      </c>
      <c r="AK65" s="231">
        <f>+Janvier!AM65</f>
        <v>5977.4999999999991</v>
      </c>
      <c r="AL65" s="231">
        <f>+Janvier!AN65</f>
        <v>3622.727272727273</v>
      </c>
      <c r="AM65" s="231">
        <f>+Janvier!AO65</f>
        <v>2241.5625</v>
      </c>
      <c r="AN65" s="231">
        <f>+Janvier!AP65</f>
        <v>4483.125</v>
      </c>
      <c r="AO65" s="231">
        <f>+Janvier!AQ65</f>
        <v>2241.5625</v>
      </c>
      <c r="AP65" s="231">
        <f>+Janvier!AR65</f>
        <v>2241.5625</v>
      </c>
      <c r="AQ65" s="231">
        <f>+Janvier!AS65</f>
        <v>3985</v>
      </c>
      <c r="AR65" s="16">
        <f t="shared" si="97"/>
        <v>0</v>
      </c>
      <c r="AS65" s="16">
        <f t="shared" si="98"/>
        <v>0</v>
      </c>
      <c r="AT65" s="16">
        <f t="shared" si="99"/>
        <v>0</v>
      </c>
      <c r="AU65" s="16">
        <f t="shared" si="100"/>
        <v>0</v>
      </c>
      <c r="AV65" s="16">
        <f t="shared" si="101"/>
        <v>0</v>
      </c>
      <c r="AW65" s="16">
        <f t="shared" si="102"/>
        <v>0</v>
      </c>
      <c r="AX65" s="16">
        <f t="shared" si="103"/>
        <v>0</v>
      </c>
      <c r="AY65" s="16">
        <f t="shared" si="104"/>
        <v>0</v>
      </c>
      <c r="AZ65" s="16">
        <f t="shared" si="105"/>
        <v>0</v>
      </c>
      <c r="BA65" s="17">
        <f t="shared" si="106"/>
        <v>0</v>
      </c>
    </row>
    <row r="66" spans="1:53" ht="15.6" x14ac:dyDescent="0.3">
      <c r="A66" s="199" t="s">
        <v>32</v>
      </c>
      <c r="B66" s="257"/>
      <c r="C66" s="233"/>
      <c r="D66" s="95"/>
      <c r="E66" s="98"/>
      <c r="F66" s="97"/>
      <c r="G66" s="99"/>
      <c r="H66" s="98"/>
      <c r="I66" s="97"/>
      <c r="J66" s="99"/>
      <c r="K66" s="98"/>
      <c r="L66" s="97"/>
      <c r="M66" s="99"/>
      <c r="N66" s="98"/>
      <c r="O66" s="97"/>
      <c r="P66" s="99"/>
      <c r="Q66" s="98"/>
      <c r="R66" s="97"/>
      <c r="S66" s="99"/>
      <c r="T66" s="98"/>
      <c r="U66" s="97"/>
      <c r="V66" s="99"/>
      <c r="W66" s="98"/>
      <c r="X66" s="97"/>
      <c r="Y66" s="99"/>
      <c r="Z66" s="98"/>
      <c r="AA66" s="97"/>
      <c r="AB66" s="95"/>
      <c r="AC66" s="98"/>
      <c r="AD66" s="97"/>
      <c r="AE66" s="99"/>
      <c r="AF66" s="98"/>
      <c r="AG66" s="97"/>
      <c r="AH66" s="265">
        <f>+Janvier!AJ66</f>
        <v>1732.3763736263736</v>
      </c>
      <c r="AI66" s="231">
        <f>+Janvier!AK66</f>
        <v>5389.6153846153857</v>
      </c>
      <c r="AJ66" s="231">
        <f>+Janvier!AL66</f>
        <v>4042.211538461539</v>
      </c>
      <c r="AK66" s="231">
        <f>+Janvier!AM66</f>
        <v>4042.211538461539</v>
      </c>
      <c r="AL66" s="231">
        <f>+Janvier!AN66</f>
        <v>2449.8251748251751</v>
      </c>
      <c r="AM66" s="231">
        <f>+Janvier!AO66</f>
        <v>1515.8293269230767</v>
      </c>
      <c r="AN66" s="231">
        <f>+Janvier!AP66</f>
        <v>3031.6586538461534</v>
      </c>
      <c r="AO66" s="231">
        <f>+Janvier!AQ66</f>
        <v>1515.8293269230767</v>
      </c>
      <c r="AP66" s="231">
        <f>+Janvier!AR66</f>
        <v>1515.8293269230767</v>
      </c>
      <c r="AQ66" s="231">
        <f>+Janvier!AS66</f>
        <v>2694.8076923076928</v>
      </c>
      <c r="AR66" s="16">
        <f t="shared" si="97"/>
        <v>0</v>
      </c>
      <c r="AS66" s="16">
        <f t="shared" si="98"/>
        <v>0</v>
      </c>
      <c r="AT66" s="16">
        <f t="shared" si="99"/>
        <v>0</v>
      </c>
      <c r="AU66" s="16">
        <f t="shared" si="100"/>
        <v>0</v>
      </c>
      <c r="AV66" s="16">
        <f t="shared" si="101"/>
        <v>0</v>
      </c>
      <c r="AW66" s="16">
        <f t="shared" si="102"/>
        <v>0</v>
      </c>
      <c r="AX66" s="16">
        <f t="shared" si="103"/>
        <v>0</v>
      </c>
      <c r="AY66" s="16">
        <f t="shared" si="104"/>
        <v>0</v>
      </c>
      <c r="AZ66" s="16">
        <f t="shared" si="105"/>
        <v>0</v>
      </c>
      <c r="BA66" s="17">
        <f t="shared" si="106"/>
        <v>0</v>
      </c>
    </row>
    <row r="67" spans="1:53" ht="16.2" thickBot="1" x14ac:dyDescent="0.35">
      <c r="A67" s="199" t="s">
        <v>33</v>
      </c>
      <c r="B67" s="270"/>
      <c r="C67" s="271"/>
      <c r="D67" s="111"/>
      <c r="E67" s="263"/>
      <c r="F67" s="110"/>
      <c r="G67" s="264"/>
      <c r="H67" s="263"/>
      <c r="I67" s="110"/>
      <c r="J67" s="264"/>
      <c r="K67" s="263"/>
      <c r="L67" s="110"/>
      <c r="M67" s="264"/>
      <c r="N67" s="263"/>
      <c r="O67" s="110"/>
      <c r="P67" s="264"/>
      <c r="Q67" s="263"/>
      <c r="R67" s="110"/>
      <c r="S67" s="264"/>
      <c r="T67" s="263"/>
      <c r="U67" s="110"/>
      <c r="V67" s="264"/>
      <c r="W67" s="263"/>
      <c r="X67" s="110"/>
      <c r="Y67" s="264"/>
      <c r="Z67" s="263"/>
      <c r="AA67" s="110"/>
      <c r="AB67" s="111"/>
      <c r="AC67" s="263"/>
      <c r="AD67" s="110"/>
      <c r="AE67" s="266"/>
      <c r="AF67" s="267"/>
      <c r="AG67" s="261"/>
      <c r="AH67" s="265">
        <f>+Janvier!AJ67</f>
        <v>1391.4148351648353</v>
      </c>
      <c r="AI67" s="231">
        <f>+Janvier!AK67</f>
        <v>4328.8461538461534</v>
      </c>
      <c r="AJ67" s="231">
        <f>+Janvier!AL67</f>
        <v>3246.6346153846152</v>
      </c>
      <c r="AK67" s="231">
        <f>+Janvier!AM67</f>
        <v>3246.6346153846152</v>
      </c>
      <c r="AL67" s="231">
        <f>+Janvier!AN67</f>
        <v>1967.6573426573427</v>
      </c>
      <c r="AM67" s="231">
        <f>+Janvier!AO67</f>
        <v>1217.4879807692307</v>
      </c>
      <c r="AN67" s="231">
        <f>+Janvier!AP67</f>
        <v>2434.9759615384614</v>
      </c>
      <c r="AO67" s="231">
        <f>+Janvier!AQ67</f>
        <v>1217.4879807692307</v>
      </c>
      <c r="AP67" s="231">
        <f>+Janvier!AR67</f>
        <v>1217.4879807692307</v>
      </c>
      <c r="AQ67" s="231">
        <f>+Janvier!AS67</f>
        <v>2164.4230769230767</v>
      </c>
      <c r="AR67" s="32">
        <f t="shared" si="97"/>
        <v>0</v>
      </c>
      <c r="AS67" s="32">
        <f t="shared" si="98"/>
        <v>0</v>
      </c>
      <c r="AT67" s="32">
        <f t="shared" si="99"/>
        <v>0</v>
      </c>
      <c r="AU67" s="32">
        <f t="shared" si="100"/>
        <v>0</v>
      </c>
      <c r="AV67" s="32">
        <f t="shared" si="101"/>
        <v>0</v>
      </c>
      <c r="AW67" s="32">
        <f t="shared" si="102"/>
        <v>0</v>
      </c>
      <c r="AX67" s="32">
        <f t="shared" si="103"/>
        <v>0</v>
      </c>
      <c r="AY67" s="32">
        <f t="shared" si="104"/>
        <v>0</v>
      </c>
      <c r="AZ67" s="32">
        <f t="shared" si="105"/>
        <v>0</v>
      </c>
      <c r="BA67" s="33">
        <f t="shared" si="106"/>
        <v>0</v>
      </c>
    </row>
    <row r="68" spans="1:53" ht="15.6" x14ac:dyDescent="0.3">
      <c r="A68" s="202" t="s">
        <v>86</v>
      </c>
      <c r="B68" s="256"/>
      <c r="C68" s="160"/>
      <c r="D68" s="268"/>
      <c r="E68" s="123"/>
      <c r="F68" s="124"/>
      <c r="G68" s="125"/>
      <c r="H68" s="123"/>
      <c r="I68" s="124"/>
      <c r="J68" s="125"/>
      <c r="K68" s="123"/>
      <c r="L68" s="124"/>
      <c r="M68" s="125"/>
      <c r="N68" s="123"/>
      <c r="O68" s="124"/>
      <c r="P68" s="125"/>
      <c r="Q68" s="123"/>
      <c r="R68" s="124"/>
      <c r="S68" s="125"/>
      <c r="T68" s="123"/>
      <c r="U68" s="124"/>
      <c r="V68" s="125"/>
      <c r="W68" s="123"/>
      <c r="X68" s="124"/>
      <c r="Y68" s="125"/>
      <c r="Z68" s="123"/>
      <c r="AA68" s="124"/>
      <c r="AB68" s="125"/>
      <c r="AC68" s="123"/>
      <c r="AD68" s="124"/>
      <c r="AE68" s="125"/>
      <c r="AF68" s="123"/>
      <c r="AG68" s="124"/>
      <c r="AH68" s="265">
        <f>+Janvier!AJ68</f>
        <v>88119.9</v>
      </c>
      <c r="AI68" s="231">
        <f>+Janvier!AK68</f>
        <v>305254.47115384619</v>
      </c>
      <c r="AJ68" s="231">
        <f>+Janvier!AL68</f>
        <v>203299.47778846158</v>
      </c>
      <c r="AK68" s="231">
        <f>+Janvier!AM68</f>
        <v>203299.47778846158</v>
      </c>
      <c r="AL68" s="231">
        <f>+Janvier!AN68</f>
        <v>128206.87788461539</v>
      </c>
      <c r="AM68" s="231">
        <f>+Janvier!AO68</f>
        <v>76313.617788461546</v>
      </c>
      <c r="AN68" s="231">
        <f>+Janvier!AP68</f>
        <v>152627.23557692309</v>
      </c>
      <c r="AO68" s="231">
        <f>+Janvier!AQ68</f>
        <v>76313.617788461546</v>
      </c>
      <c r="AP68" s="231">
        <f>+Janvier!AR68</f>
        <v>76313.617788461546</v>
      </c>
      <c r="AQ68" s="231">
        <f>+Janvier!AS68</f>
        <v>136801.52307692307</v>
      </c>
      <c r="AR68" s="16">
        <f>ROUND(E68/(AH68/15),0)</f>
        <v>0</v>
      </c>
      <c r="AS68" s="16">
        <f t="shared" ref="AS68" si="107">ROUND(H68/(AI68/15),0)</f>
        <v>0</v>
      </c>
      <c r="AT68" s="16">
        <f t="shared" ref="AT68" si="108">ROUND(K68/(AJ68/15),0)</f>
        <v>0</v>
      </c>
      <c r="AU68" s="16">
        <f t="shared" ref="AU68" si="109">ROUND(N68/(AK68/15),0)</f>
        <v>0</v>
      </c>
      <c r="AV68" s="16">
        <f t="shared" ref="AV68" si="110">ROUND(Q68/(AL68/15),0)</f>
        <v>0</v>
      </c>
      <c r="AW68" s="16">
        <f t="shared" ref="AW68" si="111">ROUND(T68/(AM68/15),0)</f>
        <v>0</v>
      </c>
      <c r="AX68" s="16">
        <f t="shared" ref="AX68" si="112">ROUND(W68/(AN68/15),0)</f>
        <v>0</v>
      </c>
      <c r="AY68" s="16">
        <f t="shared" ref="AY68" si="113">ROUND(Z68/(AO68/15),0)</f>
        <v>0</v>
      </c>
      <c r="AZ68" s="16">
        <f t="shared" ref="AZ68" si="114">ROUND(AC68/(AP68/15),0)</f>
        <v>0</v>
      </c>
      <c r="BA68" s="17">
        <f t="shared" ref="BA68" si="115">ROUND(AF68/(AQ68/15),0)</f>
        <v>0</v>
      </c>
    </row>
    <row r="69" spans="1:53" ht="15.6" x14ac:dyDescent="0.3">
      <c r="A69" s="199" t="s">
        <v>63</v>
      </c>
      <c r="B69" s="257"/>
      <c r="C69" s="94"/>
      <c r="D69" s="237"/>
      <c r="E69" s="96"/>
      <c r="F69" s="97"/>
      <c r="G69" s="95"/>
      <c r="H69" s="96"/>
      <c r="I69" s="97"/>
      <c r="J69" s="95"/>
      <c r="K69" s="96"/>
      <c r="L69" s="97"/>
      <c r="M69" s="95"/>
      <c r="N69" s="96"/>
      <c r="O69" s="97"/>
      <c r="P69" s="95"/>
      <c r="Q69" s="96"/>
      <c r="R69" s="97"/>
      <c r="S69" s="95"/>
      <c r="T69" s="96"/>
      <c r="U69" s="97"/>
      <c r="V69" s="95"/>
      <c r="W69" s="96"/>
      <c r="X69" s="97"/>
      <c r="Y69" s="95"/>
      <c r="Z69" s="96"/>
      <c r="AA69" s="97"/>
      <c r="AB69" s="95"/>
      <c r="AC69" s="96"/>
      <c r="AD69" s="97"/>
      <c r="AE69" s="95"/>
      <c r="AF69" s="96"/>
      <c r="AG69" s="97"/>
      <c r="AH69" s="265">
        <f>+Janvier!AJ69</f>
        <v>792.19780219780216</v>
      </c>
      <c r="AI69" s="231">
        <f>+Janvier!AK69</f>
        <v>2464.6153846153848</v>
      </c>
      <c r="AJ69" s="231">
        <f>+Janvier!AL69</f>
        <v>1848.4615384615383</v>
      </c>
      <c r="AK69" s="231">
        <f>+Janvier!AM69</f>
        <v>1848.4615384615383</v>
      </c>
      <c r="AL69" s="231">
        <f>+Janvier!AN69</f>
        <v>1120.2797202797203</v>
      </c>
      <c r="AM69" s="231">
        <f>+Janvier!AO69</f>
        <v>693.17307692307691</v>
      </c>
      <c r="AN69" s="231">
        <f>+Janvier!AP69</f>
        <v>1386.3461538461538</v>
      </c>
      <c r="AO69" s="231">
        <f>+Janvier!AQ69</f>
        <v>693.17307692307691</v>
      </c>
      <c r="AP69" s="231">
        <f>+Janvier!AR69</f>
        <v>693.17307692307691</v>
      </c>
      <c r="AQ69" s="231">
        <f>+Janvier!AS69</f>
        <v>1232.3076923076924</v>
      </c>
      <c r="AR69" s="16">
        <f t="shared" ref="AR69:AR79" si="116">ROUND(E69/(AH69/5),0)</f>
        <v>0</v>
      </c>
      <c r="AS69" s="16">
        <f t="shared" ref="AS69:AS79" si="117">ROUND(H69/(AI69/5),0)</f>
        <v>0</v>
      </c>
      <c r="AT69" s="16">
        <f t="shared" ref="AT69:AT79" si="118">ROUND(K69/(AJ69/5),0)</f>
        <v>0</v>
      </c>
      <c r="AU69" s="16">
        <f t="shared" ref="AU69:AU79" si="119">ROUND(N69/(AK69/5),0)</f>
        <v>0</v>
      </c>
      <c r="AV69" s="16">
        <f t="shared" ref="AV69:AV79" si="120">ROUND(Q69/(AL69/5),0)</f>
        <v>0</v>
      </c>
      <c r="AW69" s="16">
        <f t="shared" ref="AW69:AW79" si="121">ROUND(T69/(AM69/5),0)</f>
        <v>0</v>
      </c>
      <c r="AX69" s="16">
        <f t="shared" ref="AX69:AX79" si="122">ROUND(W69/(AN69/5),0)</f>
        <v>0</v>
      </c>
      <c r="AY69" s="16">
        <f t="shared" ref="AY69:AY79" si="123">ROUND(Z69/(AO69/5),0)</f>
        <v>0</v>
      </c>
      <c r="AZ69" s="16">
        <f t="shared" ref="AZ69:AZ79" si="124">ROUND(AC69/(AP69/5),0)</f>
        <v>0</v>
      </c>
      <c r="BA69" s="17">
        <f t="shared" ref="BA69:BA79" si="125">ROUND(AF69/(AQ69/5),0)</f>
        <v>0</v>
      </c>
    </row>
    <row r="70" spans="1:53" ht="15.6" x14ac:dyDescent="0.3">
      <c r="A70" s="199" t="s">
        <v>64</v>
      </c>
      <c r="B70" s="257"/>
      <c r="C70" s="94"/>
      <c r="D70" s="237"/>
      <c r="E70" s="96"/>
      <c r="F70" s="97"/>
      <c r="G70" s="95"/>
      <c r="H70" s="96"/>
      <c r="I70" s="97"/>
      <c r="J70" s="95"/>
      <c r="K70" s="96"/>
      <c r="L70" s="97"/>
      <c r="M70" s="95"/>
      <c r="N70" s="96"/>
      <c r="O70" s="97"/>
      <c r="P70" s="95"/>
      <c r="Q70" s="96"/>
      <c r="R70" s="97"/>
      <c r="S70" s="95"/>
      <c r="T70" s="96"/>
      <c r="U70" s="97"/>
      <c r="V70" s="95"/>
      <c r="W70" s="96"/>
      <c r="X70" s="97"/>
      <c r="Y70" s="95"/>
      <c r="Z70" s="96"/>
      <c r="AA70" s="97"/>
      <c r="AB70" s="95"/>
      <c r="AC70" s="96"/>
      <c r="AD70" s="97"/>
      <c r="AE70" s="95"/>
      <c r="AF70" s="96"/>
      <c r="AG70" s="97"/>
      <c r="AH70" s="265">
        <f>+Janvier!AJ70</f>
        <v>1980.7417582417584</v>
      </c>
      <c r="AI70" s="231">
        <f>+Janvier!AK70</f>
        <v>6162.3076923076933</v>
      </c>
      <c r="AJ70" s="231">
        <f>+Janvier!AL70</f>
        <v>4621.7307692307704</v>
      </c>
      <c r="AK70" s="231">
        <f>+Janvier!AM70</f>
        <v>4621.7307692307704</v>
      </c>
      <c r="AL70" s="231">
        <f>+Janvier!AN70</f>
        <v>2801.0489510489515</v>
      </c>
      <c r="AM70" s="231">
        <f>+Janvier!AO70</f>
        <v>1733.1490384615383</v>
      </c>
      <c r="AN70" s="231">
        <f>+Janvier!AP70</f>
        <v>3466.2980769230767</v>
      </c>
      <c r="AO70" s="231">
        <f>+Janvier!AQ70</f>
        <v>1733.1490384615383</v>
      </c>
      <c r="AP70" s="231">
        <f>+Janvier!AR70</f>
        <v>1733.1490384615383</v>
      </c>
      <c r="AQ70" s="231">
        <f>+Janvier!AS70</f>
        <v>3081.1538461538466</v>
      </c>
      <c r="AR70" s="16">
        <f t="shared" si="116"/>
        <v>0</v>
      </c>
      <c r="AS70" s="16">
        <f t="shared" si="117"/>
        <v>0</v>
      </c>
      <c r="AT70" s="16">
        <f t="shared" si="118"/>
        <v>0</v>
      </c>
      <c r="AU70" s="16">
        <f t="shared" si="119"/>
        <v>0</v>
      </c>
      <c r="AV70" s="16">
        <f t="shared" si="120"/>
        <v>0</v>
      </c>
      <c r="AW70" s="16">
        <f t="shared" si="121"/>
        <v>0</v>
      </c>
      <c r="AX70" s="16">
        <f t="shared" si="122"/>
        <v>0</v>
      </c>
      <c r="AY70" s="16">
        <f t="shared" si="123"/>
        <v>0</v>
      </c>
      <c r="AZ70" s="16">
        <f t="shared" si="124"/>
        <v>0</v>
      </c>
      <c r="BA70" s="17">
        <f t="shared" si="125"/>
        <v>0</v>
      </c>
    </row>
    <row r="71" spans="1:53" ht="15.6" x14ac:dyDescent="0.3">
      <c r="A71" s="199" t="s">
        <v>65</v>
      </c>
      <c r="B71" s="257"/>
      <c r="C71" s="94"/>
      <c r="D71" s="237"/>
      <c r="E71" s="96"/>
      <c r="F71" s="97"/>
      <c r="G71" s="95"/>
      <c r="H71" s="96"/>
      <c r="I71" s="97"/>
      <c r="J71" s="95"/>
      <c r="K71" s="96"/>
      <c r="L71" s="97"/>
      <c r="M71" s="95"/>
      <c r="N71" s="96"/>
      <c r="O71" s="97"/>
      <c r="P71" s="95"/>
      <c r="Q71" s="96"/>
      <c r="R71" s="97"/>
      <c r="S71" s="95"/>
      <c r="T71" s="96"/>
      <c r="U71" s="97"/>
      <c r="V71" s="95"/>
      <c r="W71" s="96"/>
      <c r="X71" s="97"/>
      <c r="Y71" s="95"/>
      <c r="Z71" s="96"/>
      <c r="AA71" s="97"/>
      <c r="AB71" s="95"/>
      <c r="AC71" s="96"/>
      <c r="AD71" s="97"/>
      <c r="AE71" s="95"/>
      <c r="AF71" s="96"/>
      <c r="AG71" s="97"/>
      <c r="AH71" s="265">
        <f>+Janvier!AJ71</f>
        <v>2906.4560439560446</v>
      </c>
      <c r="AI71" s="231">
        <f>+Janvier!AK71</f>
        <v>9042.3076923076933</v>
      </c>
      <c r="AJ71" s="231">
        <f>+Janvier!AL71</f>
        <v>6781.7307692307695</v>
      </c>
      <c r="AK71" s="231">
        <f>+Janvier!AM71</f>
        <v>6781.7307692307695</v>
      </c>
      <c r="AL71" s="231">
        <f>+Janvier!AN71</f>
        <v>4110.1398601398605</v>
      </c>
      <c r="AM71" s="231">
        <f>+Janvier!AO71</f>
        <v>2543.1490384615386</v>
      </c>
      <c r="AN71" s="231">
        <f>+Janvier!AP71</f>
        <v>5086.2980769230771</v>
      </c>
      <c r="AO71" s="231">
        <f>+Janvier!AQ71</f>
        <v>2543.1490384615386</v>
      </c>
      <c r="AP71" s="231">
        <f>+Janvier!AR71</f>
        <v>2543.1490384615386</v>
      </c>
      <c r="AQ71" s="231">
        <f>+Janvier!AS71</f>
        <v>4521.1538461538466</v>
      </c>
      <c r="AR71" s="16">
        <f t="shared" si="116"/>
        <v>0</v>
      </c>
      <c r="AS71" s="16">
        <f t="shared" si="117"/>
        <v>0</v>
      </c>
      <c r="AT71" s="16">
        <f t="shared" si="118"/>
        <v>0</v>
      </c>
      <c r="AU71" s="16">
        <f t="shared" si="119"/>
        <v>0</v>
      </c>
      <c r="AV71" s="16">
        <f t="shared" si="120"/>
        <v>0</v>
      </c>
      <c r="AW71" s="16">
        <f t="shared" si="121"/>
        <v>0</v>
      </c>
      <c r="AX71" s="16">
        <f t="shared" si="122"/>
        <v>0</v>
      </c>
      <c r="AY71" s="16">
        <f t="shared" si="123"/>
        <v>0</v>
      </c>
      <c r="AZ71" s="16">
        <f t="shared" si="124"/>
        <v>0</v>
      </c>
      <c r="BA71" s="17">
        <f t="shared" si="125"/>
        <v>0</v>
      </c>
    </row>
    <row r="72" spans="1:53" ht="15.6" x14ac:dyDescent="0.3">
      <c r="A72" s="203" t="s">
        <v>66</v>
      </c>
      <c r="B72" s="257"/>
      <c r="C72" s="94"/>
      <c r="D72" s="237"/>
      <c r="E72" s="96"/>
      <c r="F72" s="97"/>
      <c r="G72" s="95"/>
      <c r="H72" s="96"/>
      <c r="I72" s="97"/>
      <c r="J72" s="95"/>
      <c r="K72" s="96"/>
      <c r="L72" s="97"/>
      <c r="M72" s="95"/>
      <c r="N72" s="96"/>
      <c r="O72" s="97"/>
      <c r="P72" s="95"/>
      <c r="Q72" s="96"/>
      <c r="R72" s="97"/>
      <c r="S72" s="95"/>
      <c r="T72" s="96"/>
      <c r="U72" s="97"/>
      <c r="V72" s="95"/>
      <c r="W72" s="96"/>
      <c r="X72" s="97"/>
      <c r="Y72" s="95"/>
      <c r="Z72" s="96"/>
      <c r="AA72" s="97"/>
      <c r="AB72" s="95"/>
      <c r="AC72" s="96"/>
      <c r="AD72" s="97"/>
      <c r="AE72" s="95"/>
      <c r="AF72" s="96"/>
      <c r="AG72" s="97"/>
      <c r="AH72" s="265">
        <f>+Janvier!AJ72</f>
        <v>2692.335164835165</v>
      </c>
      <c r="AI72" s="231">
        <f>+Janvier!AK72</f>
        <v>8376.1538461538457</v>
      </c>
      <c r="AJ72" s="231">
        <f>+Janvier!AL72</f>
        <v>6282.1153846153857</v>
      </c>
      <c r="AK72" s="231">
        <f>+Janvier!AM72</f>
        <v>6282.1153846153857</v>
      </c>
      <c r="AL72" s="231">
        <f>+Janvier!AN72</f>
        <v>3807.3426573426577</v>
      </c>
      <c r="AM72" s="231">
        <f>+Janvier!AO72</f>
        <v>2355.7932692307695</v>
      </c>
      <c r="AN72" s="231">
        <f>+Janvier!AP72</f>
        <v>4711.586538461539</v>
      </c>
      <c r="AO72" s="231">
        <f>+Janvier!AQ72</f>
        <v>2355.7932692307695</v>
      </c>
      <c r="AP72" s="231">
        <f>+Janvier!AR72</f>
        <v>2355.7932692307695</v>
      </c>
      <c r="AQ72" s="231">
        <f>+Janvier!AS72</f>
        <v>4188.0769230769229</v>
      </c>
      <c r="AR72" s="16">
        <f t="shared" si="116"/>
        <v>0</v>
      </c>
      <c r="AS72" s="16">
        <f t="shared" si="117"/>
        <v>0</v>
      </c>
      <c r="AT72" s="16">
        <f t="shared" si="118"/>
        <v>0</v>
      </c>
      <c r="AU72" s="16">
        <f t="shared" si="119"/>
        <v>0</v>
      </c>
      <c r="AV72" s="16">
        <f t="shared" si="120"/>
        <v>0</v>
      </c>
      <c r="AW72" s="16">
        <f t="shared" si="121"/>
        <v>0</v>
      </c>
      <c r="AX72" s="16">
        <f t="shared" si="122"/>
        <v>0</v>
      </c>
      <c r="AY72" s="16">
        <f t="shared" si="123"/>
        <v>0</v>
      </c>
      <c r="AZ72" s="16">
        <f t="shared" si="124"/>
        <v>0</v>
      </c>
      <c r="BA72" s="17">
        <f t="shared" si="125"/>
        <v>0</v>
      </c>
    </row>
    <row r="73" spans="1:53" ht="15.6" x14ac:dyDescent="0.3">
      <c r="A73" s="203" t="s">
        <v>67</v>
      </c>
      <c r="B73" s="257"/>
      <c r="C73" s="94"/>
      <c r="D73" s="237"/>
      <c r="E73" s="96"/>
      <c r="F73" s="97"/>
      <c r="G73" s="95"/>
      <c r="H73" s="96"/>
      <c r="I73" s="97"/>
      <c r="J73" s="95"/>
      <c r="K73" s="96"/>
      <c r="L73" s="97"/>
      <c r="M73" s="95"/>
      <c r="N73" s="96"/>
      <c r="O73" s="97"/>
      <c r="P73" s="95"/>
      <c r="Q73" s="96"/>
      <c r="R73" s="97"/>
      <c r="S73" s="95"/>
      <c r="T73" s="96"/>
      <c r="U73" s="97"/>
      <c r="V73" s="95"/>
      <c r="W73" s="96"/>
      <c r="X73" s="97"/>
      <c r="Y73" s="95"/>
      <c r="Z73" s="96"/>
      <c r="AA73" s="97"/>
      <c r="AB73" s="95"/>
      <c r="AC73" s="96"/>
      <c r="AD73" s="97"/>
      <c r="AE73" s="95"/>
      <c r="AF73" s="96"/>
      <c r="AG73" s="97"/>
      <c r="AH73" s="265">
        <f>+Janvier!AJ73</f>
        <v>4744.9038461538466</v>
      </c>
      <c r="AI73" s="231">
        <f>+Janvier!AK73</f>
        <v>14761.923076923076</v>
      </c>
      <c r="AJ73" s="231">
        <f>+Janvier!AL73</f>
        <v>11071.442307692309</v>
      </c>
      <c r="AK73" s="231">
        <f>+Janvier!AM73</f>
        <v>11071.442307692309</v>
      </c>
      <c r="AL73" s="231">
        <f>+Janvier!AN73</f>
        <v>6709.9650349650356</v>
      </c>
      <c r="AM73" s="231">
        <f>+Janvier!AO73</f>
        <v>4151.7908653846152</v>
      </c>
      <c r="AN73" s="231">
        <f>+Janvier!AP73</f>
        <v>8303.5817307692305</v>
      </c>
      <c r="AO73" s="231">
        <f>+Janvier!AQ73</f>
        <v>4151.7908653846152</v>
      </c>
      <c r="AP73" s="231">
        <f>+Janvier!AR73</f>
        <v>4151.7908653846152</v>
      </c>
      <c r="AQ73" s="231">
        <f>+Janvier!AS73</f>
        <v>7380.9615384615381</v>
      </c>
      <c r="AR73" s="16">
        <f t="shared" si="116"/>
        <v>0</v>
      </c>
      <c r="AS73" s="16">
        <f t="shared" si="117"/>
        <v>0</v>
      </c>
      <c r="AT73" s="16">
        <f t="shared" si="118"/>
        <v>0</v>
      </c>
      <c r="AU73" s="16">
        <f t="shared" si="119"/>
        <v>0</v>
      </c>
      <c r="AV73" s="16">
        <f t="shared" si="120"/>
        <v>0</v>
      </c>
      <c r="AW73" s="16">
        <f t="shared" si="121"/>
        <v>0</v>
      </c>
      <c r="AX73" s="16">
        <f t="shared" si="122"/>
        <v>0</v>
      </c>
      <c r="AY73" s="16">
        <f t="shared" si="123"/>
        <v>0</v>
      </c>
      <c r="AZ73" s="16">
        <f t="shared" si="124"/>
        <v>0</v>
      </c>
      <c r="BA73" s="17">
        <f t="shared" si="125"/>
        <v>0</v>
      </c>
    </row>
    <row r="74" spans="1:53" ht="15.6" x14ac:dyDescent="0.3">
      <c r="A74" s="203" t="s">
        <v>68</v>
      </c>
      <c r="B74" s="257"/>
      <c r="C74" s="94"/>
      <c r="D74" s="237"/>
      <c r="E74" s="96"/>
      <c r="F74" s="97"/>
      <c r="G74" s="95"/>
      <c r="H74" s="96"/>
      <c r="I74" s="97"/>
      <c r="J74" s="95"/>
      <c r="K74" s="96"/>
      <c r="L74" s="97"/>
      <c r="M74" s="95"/>
      <c r="N74" s="96"/>
      <c r="O74" s="97"/>
      <c r="P74" s="95"/>
      <c r="Q74" s="96"/>
      <c r="R74" s="97"/>
      <c r="S74" s="95"/>
      <c r="T74" s="96"/>
      <c r="U74" s="97"/>
      <c r="V74" s="95"/>
      <c r="W74" s="96"/>
      <c r="X74" s="97"/>
      <c r="Y74" s="95"/>
      <c r="Z74" s="96"/>
      <c r="AA74" s="97"/>
      <c r="AB74" s="95"/>
      <c r="AC74" s="96"/>
      <c r="AD74" s="97"/>
      <c r="AE74" s="95"/>
      <c r="AF74" s="96"/>
      <c r="AG74" s="97"/>
      <c r="AH74" s="265">
        <f>+Janvier!AJ74</f>
        <v>3278.4478021978025</v>
      </c>
      <c r="AI74" s="231">
        <f>+Janvier!AK74</f>
        <v>10199.615384615387</v>
      </c>
      <c r="AJ74" s="231">
        <f>+Janvier!AL74</f>
        <v>7649.7115384615381</v>
      </c>
      <c r="AK74" s="231">
        <f>+Janvier!AM74</f>
        <v>7649.7115384615381</v>
      </c>
      <c r="AL74" s="231">
        <f>+Janvier!AN74</f>
        <v>4636.188811188812</v>
      </c>
      <c r="AM74" s="231">
        <f>+Janvier!AO74</f>
        <v>2868.6418269230771</v>
      </c>
      <c r="AN74" s="231">
        <f>+Janvier!AP74</f>
        <v>5737.2836538461543</v>
      </c>
      <c r="AO74" s="231">
        <f>+Janvier!AQ74</f>
        <v>2868.6418269230771</v>
      </c>
      <c r="AP74" s="231">
        <f>+Janvier!AR74</f>
        <v>2868.6418269230771</v>
      </c>
      <c r="AQ74" s="231">
        <f>+Janvier!AS74</f>
        <v>5099.8076923076933</v>
      </c>
      <c r="AR74" s="16">
        <f t="shared" si="116"/>
        <v>0</v>
      </c>
      <c r="AS74" s="16">
        <f t="shared" si="117"/>
        <v>0</v>
      </c>
      <c r="AT74" s="16">
        <f t="shared" si="118"/>
        <v>0</v>
      </c>
      <c r="AU74" s="16">
        <f t="shared" si="119"/>
        <v>0</v>
      </c>
      <c r="AV74" s="16">
        <f t="shared" si="120"/>
        <v>0</v>
      </c>
      <c r="AW74" s="16">
        <f t="shared" si="121"/>
        <v>0</v>
      </c>
      <c r="AX74" s="16">
        <f t="shared" si="122"/>
        <v>0</v>
      </c>
      <c r="AY74" s="16">
        <f t="shared" si="123"/>
        <v>0</v>
      </c>
      <c r="AZ74" s="16">
        <f t="shared" si="124"/>
        <v>0</v>
      </c>
      <c r="BA74" s="17">
        <f t="shared" si="125"/>
        <v>0</v>
      </c>
    </row>
    <row r="75" spans="1:53" ht="15.6" x14ac:dyDescent="0.3">
      <c r="A75" s="203" t="s">
        <v>69</v>
      </c>
      <c r="B75" s="257"/>
      <c r="C75" s="94"/>
      <c r="D75" s="237"/>
      <c r="E75" s="96"/>
      <c r="F75" s="97"/>
      <c r="G75" s="95"/>
      <c r="H75" s="96"/>
      <c r="I75" s="97"/>
      <c r="J75" s="95"/>
      <c r="K75" s="96"/>
      <c r="L75" s="97"/>
      <c r="M75" s="95"/>
      <c r="N75" s="96"/>
      <c r="O75" s="97"/>
      <c r="P75" s="95"/>
      <c r="Q75" s="96"/>
      <c r="R75" s="97"/>
      <c r="S75" s="95"/>
      <c r="T75" s="96"/>
      <c r="U75" s="97"/>
      <c r="V75" s="95"/>
      <c r="W75" s="96"/>
      <c r="X75" s="97"/>
      <c r="Y75" s="95"/>
      <c r="Z75" s="96"/>
      <c r="AA75" s="97"/>
      <c r="AB75" s="95"/>
      <c r="AC75" s="96"/>
      <c r="AD75" s="97"/>
      <c r="AE75" s="95"/>
      <c r="AF75" s="96"/>
      <c r="AG75" s="97"/>
      <c r="AH75" s="265">
        <f>+Janvier!AJ75</f>
        <v>4167.9395604395613</v>
      </c>
      <c r="AI75" s="231">
        <f>+Janvier!AK75</f>
        <v>12966.923076923082</v>
      </c>
      <c r="AJ75" s="231">
        <f>+Janvier!AL75</f>
        <v>9725.1923076923085</v>
      </c>
      <c r="AK75" s="231">
        <f>+Janvier!AM75</f>
        <v>9725.1923076923085</v>
      </c>
      <c r="AL75" s="231">
        <f>+Janvier!AN75</f>
        <v>5894.0559440559446</v>
      </c>
      <c r="AM75" s="231">
        <f>+Janvier!AO75</f>
        <v>3646.9471153846152</v>
      </c>
      <c r="AN75" s="231">
        <f>+Janvier!AP75</f>
        <v>7293.8942307692305</v>
      </c>
      <c r="AO75" s="231">
        <f>+Janvier!AQ75</f>
        <v>3646.9471153846152</v>
      </c>
      <c r="AP75" s="231">
        <f>+Janvier!AR75</f>
        <v>3646.9471153846152</v>
      </c>
      <c r="AQ75" s="231">
        <f>+Janvier!AS75</f>
        <v>6483.4615384615408</v>
      </c>
      <c r="AR75" s="16">
        <f t="shared" si="116"/>
        <v>0</v>
      </c>
      <c r="AS75" s="16">
        <f t="shared" si="117"/>
        <v>0</v>
      </c>
      <c r="AT75" s="16">
        <f t="shared" si="118"/>
        <v>0</v>
      </c>
      <c r="AU75" s="16">
        <f t="shared" si="119"/>
        <v>0</v>
      </c>
      <c r="AV75" s="16">
        <f t="shared" si="120"/>
        <v>0</v>
      </c>
      <c r="AW75" s="16">
        <f t="shared" si="121"/>
        <v>0</v>
      </c>
      <c r="AX75" s="16">
        <f t="shared" si="122"/>
        <v>0</v>
      </c>
      <c r="AY75" s="16">
        <f t="shared" si="123"/>
        <v>0</v>
      </c>
      <c r="AZ75" s="16">
        <f t="shared" si="124"/>
        <v>0</v>
      </c>
      <c r="BA75" s="17">
        <f t="shared" si="125"/>
        <v>0</v>
      </c>
    </row>
    <row r="76" spans="1:53" ht="15.6" x14ac:dyDescent="0.3">
      <c r="A76" s="203" t="s">
        <v>70</v>
      </c>
      <c r="B76" s="257"/>
      <c r="C76" s="94"/>
      <c r="D76" s="237"/>
      <c r="E76" s="96"/>
      <c r="F76" s="97"/>
      <c r="G76" s="95"/>
      <c r="H76" s="96"/>
      <c r="I76" s="97"/>
      <c r="J76" s="95"/>
      <c r="K76" s="96"/>
      <c r="L76" s="97"/>
      <c r="M76" s="95"/>
      <c r="N76" s="96"/>
      <c r="O76" s="97"/>
      <c r="P76" s="95"/>
      <c r="Q76" s="96"/>
      <c r="R76" s="97"/>
      <c r="S76" s="95"/>
      <c r="T76" s="96"/>
      <c r="U76" s="97"/>
      <c r="V76" s="95"/>
      <c r="W76" s="96"/>
      <c r="X76" s="97"/>
      <c r="Y76" s="95"/>
      <c r="Z76" s="96"/>
      <c r="AA76" s="97"/>
      <c r="AB76" s="95"/>
      <c r="AC76" s="96"/>
      <c r="AD76" s="97"/>
      <c r="AE76" s="95"/>
      <c r="AF76" s="96"/>
      <c r="AG76" s="97"/>
      <c r="AH76" s="265">
        <f>+Janvier!AJ76</f>
        <v>2027.1016483516485</v>
      </c>
      <c r="AI76" s="231">
        <f>+Janvier!AK76</f>
        <v>6306.5384615384628</v>
      </c>
      <c r="AJ76" s="231">
        <f>+Janvier!AL76</f>
        <v>4729.9038461538466</v>
      </c>
      <c r="AK76" s="231">
        <f>+Janvier!AM76</f>
        <v>4729.9038461538466</v>
      </c>
      <c r="AL76" s="231">
        <f>+Janvier!AN76</f>
        <v>2866.6083916083921</v>
      </c>
      <c r="AM76" s="231">
        <f>+Janvier!AO76</f>
        <v>1773.7139423076924</v>
      </c>
      <c r="AN76" s="231">
        <f>+Janvier!AP76</f>
        <v>3547.4278846153848</v>
      </c>
      <c r="AO76" s="231">
        <f>+Janvier!AQ76</f>
        <v>1773.7139423076924</v>
      </c>
      <c r="AP76" s="231">
        <f>+Janvier!AR76</f>
        <v>1773.7139423076924</v>
      </c>
      <c r="AQ76" s="231">
        <f>+Janvier!AS76</f>
        <v>3153.2692307692314</v>
      </c>
      <c r="AR76" s="16">
        <f t="shared" si="116"/>
        <v>0</v>
      </c>
      <c r="AS76" s="16">
        <f t="shared" si="117"/>
        <v>0</v>
      </c>
      <c r="AT76" s="16">
        <f t="shared" si="118"/>
        <v>0</v>
      </c>
      <c r="AU76" s="16">
        <f t="shared" si="119"/>
        <v>0</v>
      </c>
      <c r="AV76" s="16">
        <f t="shared" si="120"/>
        <v>0</v>
      </c>
      <c r="AW76" s="16">
        <f t="shared" si="121"/>
        <v>0</v>
      </c>
      <c r="AX76" s="16">
        <f t="shared" si="122"/>
        <v>0</v>
      </c>
      <c r="AY76" s="16">
        <f t="shared" si="123"/>
        <v>0</v>
      </c>
      <c r="AZ76" s="16">
        <f t="shared" si="124"/>
        <v>0</v>
      </c>
      <c r="BA76" s="17">
        <f t="shared" si="125"/>
        <v>0</v>
      </c>
    </row>
    <row r="77" spans="1:53" ht="15.6" x14ac:dyDescent="0.3">
      <c r="A77" s="203" t="s">
        <v>71</v>
      </c>
      <c r="B77" s="257"/>
      <c r="C77" s="94"/>
      <c r="D77" s="237"/>
      <c r="E77" s="96"/>
      <c r="F77" s="97"/>
      <c r="G77" s="95"/>
      <c r="H77" s="96"/>
      <c r="I77" s="97"/>
      <c r="J77" s="95"/>
      <c r="K77" s="96"/>
      <c r="L77" s="97"/>
      <c r="M77" s="95"/>
      <c r="N77" s="96"/>
      <c r="O77" s="97"/>
      <c r="P77" s="95"/>
      <c r="Q77" s="96"/>
      <c r="R77" s="97"/>
      <c r="S77" s="95"/>
      <c r="T77" s="96"/>
      <c r="U77" s="97"/>
      <c r="V77" s="95"/>
      <c r="W77" s="96"/>
      <c r="X77" s="97"/>
      <c r="Y77" s="95"/>
      <c r="Z77" s="96"/>
      <c r="AA77" s="97"/>
      <c r="AB77" s="95"/>
      <c r="AC77" s="96"/>
      <c r="AD77" s="97"/>
      <c r="AE77" s="95"/>
      <c r="AF77" s="96"/>
      <c r="AG77" s="97"/>
      <c r="AH77" s="265">
        <f>+Janvier!AJ77</f>
        <v>3524.4642857142853</v>
      </c>
      <c r="AI77" s="231">
        <f>+Janvier!AK77</f>
        <v>10965.000000000002</v>
      </c>
      <c r="AJ77" s="231">
        <f>+Janvier!AL77</f>
        <v>8223.75</v>
      </c>
      <c r="AK77" s="231">
        <f>+Janvier!AM77</f>
        <v>8223.75</v>
      </c>
      <c r="AL77" s="231">
        <f>+Janvier!AN77</f>
        <v>4984.0909090909099</v>
      </c>
      <c r="AM77" s="231">
        <f>+Janvier!AO77</f>
        <v>3083.9062500000005</v>
      </c>
      <c r="AN77" s="231">
        <f>+Janvier!AP77</f>
        <v>6167.8125000000009</v>
      </c>
      <c r="AO77" s="231">
        <f>+Janvier!AQ77</f>
        <v>3083.9062500000005</v>
      </c>
      <c r="AP77" s="231">
        <f>+Janvier!AR77</f>
        <v>3083.9062500000005</v>
      </c>
      <c r="AQ77" s="231">
        <f>+Janvier!AS77</f>
        <v>5482.5000000000009</v>
      </c>
      <c r="AR77" s="16">
        <f t="shared" si="116"/>
        <v>0</v>
      </c>
      <c r="AS77" s="16">
        <f t="shared" si="117"/>
        <v>0</v>
      </c>
      <c r="AT77" s="16">
        <f t="shared" si="118"/>
        <v>0</v>
      </c>
      <c r="AU77" s="16">
        <f t="shared" si="119"/>
        <v>0</v>
      </c>
      <c r="AV77" s="16">
        <f t="shared" si="120"/>
        <v>0</v>
      </c>
      <c r="AW77" s="16">
        <f t="shared" si="121"/>
        <v>0</v>
      </c>
      <c r="AX77" s="16">
        <f t="shared" si="122"/>
        <v>0</v>
      </c>
      <c r="AY77" s="16">
        <f t="shared" si="123"/>
        <v>0</v>
      </c>
      <c r="AZ77" s="16">
        <f t="shared" si="124"/>
        <v>0</v>
      </c>
      <c r="BA77" s="17">
        <f t="shared" si="125"/>
        <v>0</v>
      </c>
    </row>
    <row r="78" spans="1:53" ht="15.6" x14ac:dyDescent="0.3">
      <c r="A78" s="203" t="s">
        <v>72</v>
      </c>
      <c r="B78" s="257"/>
      <c r="C78" s="94"/>
      <c r="D78" s="237"/>
      <c r="E78" s="96"/>
      <c r="F78" s="97"/>
      <c r="G78" s="95"/>
      <c r="H78" s="96"/>
      <c r="I78" s="97"/>
      <c r="J78" s="95"/>
      <c r="K78" s="96"/>
      <c r="L78" s="97"/>
      <c r="M78" s="95"/>
      <c r="N78" s="96"/>
      <c r="O78" s="97"/>
      <c r="P78" s="95"/>
      <c r="Q78" s="96"/>
      <c r="R78" s="97"/>
      <c r="S78" s="95"/>
      <c r="T78" s="96"/>
      <c r="U78" s="97"/>
      <c r="V78" s="95"/>
      <c r="W78" s="96"/>
      <c r="X78" s="97"/>
      <c r="Y78" s="95"/>
      <c r="Z78" s="96"/>
      <c r="AA78" s="97"/>
      <c r="AB78" s="95"/>
      <c r="AC78" s="96"/>
      <c r="AD78" s="97"/>
      <c r="AE78" s="95"/>
      <c r="AF78" s="96"/>
      <c r="AG78" s="97"/>
      <c r="AH78" s="265">
        <f>+Janvier!AJ78</f>
        <v>304.98626373626377</v>
      </c>
      <c r="AI78" s="231">
        <f>+Janvier!AK78</f>
        <v>948.84615384615404</v>
      </c>
      <c r="AJ78" s="231">
        <f>+Janvier!AL78</f>
        <v>711.63461538461547</v>
      </c>
      <c r="AK78" s="231">
        <f>+Janvier!AM78</f>
        <v>711.63461538461547</v>
      </c>
      <c r="AL78" s="231">
        <f>+Janvier!AN78</f>
        <v>431.29370629370635</v>
      </c>
      <c r="AM78" s="231">
        <f>+Janvier!AO78</f>
        <v>266.86298076923077</v>
      </c>
      <c r="AN78" s="231">
        <f>+Janvier!AP78</f>
        <v>533.72596153846155</v>
      </c>
      <c r="AO78" s="231">
        <f>+Janvier!AQ78</f>
        <v>266.86298076923077</v>
      </c>
      <c r="AP78" s="231">
        <f>+Janvier!AR78</f>
        <v>266.86298076923077</v>
      </c>
      <c r="AQ78" s="231">
        <f>+Janvier!AS78</f>
        <v>474.42307692307702</v>
      </c>
      <c r="AR78" s="16">
        <f t="shared" si="116"/>
        <v>0</v>
      </c>
      <c r="AS78" s="16">
        <f t="shared" si="117"/>
        <v>0</v>
      </c>
      <c r="AT78" s="16">
        <f t="shared" si="118"/>
        <v>0</v>
      </c>
      <c r="AU78" s="16">
        <f t="shared" si="119"/>
        <v>0</v>
      </c>
      <c r="AV78" s="16">
        <f t="shared" si="120"/>
        <v>0</v>
      </c>
      <c r="AW78" s="16">
        <f t="shared" si="121"/>
        <v>0</v>
      </c>
      <c r="AX78" s="16">
        <f t="shared" si="122"/>
        <v>0</v>
      </c>
      <c r="AY78" s="16">
        <f t="shared" si="123"/>
        <v>0</v>
      </c>
      <c r="AZ78" s="16">
        <f t="shared" si="124"/>
        <v>0</v>
      </c>
      <c r="BA78" s="17">
        <f t="shared" si="125"/>
        <v>0</v>
      </c>
    </row>
    <row r="79" spans="1:53" ht="16.2" thickBot="1" x14ac:dyDescent="0.35">
      <c r="A79" s="203" t="s">
        <v>73</v>
      </c>
      <c r="B79" s="270"/>
      <c r="C79" s="255"/>
      <c r="D79" s="269"/>
      <c r="E79" s="109"/>
      <c r="F79" s="110"/>
      <c r="G79" s="111"/>
      <c r="H79" s="109"/>
      <c r="I79" s="110"/>
      <c r="J79" s="111"/>
      <c r="K79" s="109"/>
      <c r="L79" s="110"/>
      <c r="M79" s="111"/>
      <c r="N79" s="109"/>
      <c r="O79" s="110"/>
      <c r="P79" s="111"/>
      <c r="Q79" s="109"/>
      <c r="R79" s="110"/>
      <c r="S79" s="111"/>
      <c r="T79" s="109"/>
      <c r="U79" s="110"/>
      <c r="V79" s="111"/>
      <c r="W79" s="109"/>
      <c r="X79" s="110"/>
      <c r="Y79" s="111"/>
      <c r="Z79" s="109"/>
      <c r="AA79" s="110"/>
      <c r="AB79" s="111"/>
      <c r="AC79" s="109"/>
      <c r="AD79" s="110"/>
      <c r="AE79" s="111"/>
      <c r="AF79" s="109"/>
      <c r="AG79" s="110"/>
      <c r="AH79" s="265">
        <f>+Janvier!AJ79</f>
        <v>2652.2802197802202</v>
      </c>
      <c r="AI79" s="231">
        <f>+Janvier!AK79</f>
        <v>8251.5384615384628</v>
      </c>
      <c r="AJ79" s="231">
        <f>+Janvier!AL79</f>
        <v>6188.6538461538466</v>
      </c>
      <c r="AK79" s="231">
        <f>+Janvier!AM79</f>
        <v>6188.6538461538466</v>
      </c>
      <c r="AL79" s="231">
        <f>+Janvier!AN79</f>
        <v>3750.6993006993016</v>
      </c>
      <c r="AM79" s="231">
        <f>+Janvier!AO79</f>
        <v>2320.7451923076924</v>
      </c>
      <c r="AN79" s="231">
        <f>+Janvier!AP79</f>
        <v>4641.4903846153848</v>
      </c>
      <c r="AO79" s="231">
        <f>+Janvier!AQ79</f>
        <v>2320.7451923076924</v>
      </c>
      <c r="AP79" s="231">
        <f>+Janvier!AR79</f>
        <v>2320.7451923076924</v>
      </c>
      <c r="AQ79" s="231">
        <f>+Janvier!AS79</f>
        <v>4125.7692307692314</v>
      </c>
      <c r="AR79" s="32">
        <f t="shared" si="116"/>
        <v>0</v>
      </c>
      <c r="AS79" s="32">
        <f t="shared" si="117"/>
        <v>0</v>
      </c>
      <c r="AT79" s="32">
        <f t="shared" si="118"/>
        <v>0</v>
      </c>
      <c r="AU79" s="32">
        <f t="shared" si="119"/>
        <v>0</v>
      </c>
      <c r="AV79" s="32">
        <f t="shared" si="120"/>
        <v>0</v>
      </c>
      <c r="AW79" s="32">
        <f t="shared" si="121"/>
        <v>0</v>
      </c>
      <c r="AX79" s="32">
        <f t="shared" si="122"/>
        <v>0</v>
      </c>
      <c r="AY79" s="32">
        <f t="shared" si="123"/>
        <v>0</v>
      </c>
      <c r="AZ79" s="32">
        <f t="shared" si="124"/>
        <v>0</v>
      </c>
      <c r="BA79" s="33">
        <f t="shared" si="125"/>
        <v>0</v>
      </c>
    </row>
    <row r="80" spans="1:53" ht="15.6" x14ac:dyDescent="0.3">
      <c r="A80" s="202" t="s">
        <v>90</v>
      </c>
      <c r="B80" s="256"/>
      <c r="C80" s="160"/>
      <c r="D80" s="113"/>
      <c r="E80" s="114"/>
      <c r="F80" s="115"/>
      <c r="G80" s="113"/>
      <c r="H80" s="114"/>
      <c r="I80" s="115"/>
      <c r="J80" s="113"/>
      <c r="K80" s="114"/>
      <c r="L80" s="115"/>
      <c r="M80" s="113"/>
      <c r="N80" s="114"/>
      <c r="O80" s="115"/>
      <c r="P80" s="113"/>
      <c r="Q80" s="114"/>
      <c r="R80" s="115"/>
      <c r="S80" s="113"/>
      <c r="T80" s="114"/>
      <c r="U80" s="115"/>
      <c r="V80" s="113"/>
      <c r="W80" s="114"/>
      <c r="X80" s="115"/>
      <c r="Y80" s="113"/>
      <c r="Z80" s="114"/>
      <c r="AA80" s="115"/>
      <c r="AB80" s="113"/>
      <c r="AC80" s="114"/>
      <c r="AD80" s="115"/>
      <c r="AE80" s="113"/>
      <c r="AF80" s="114"/>
      <c r="AG80" s="115"/>
      <c r="AH80" s="231">
        <f>+Janvier!AJ80</f>
        <v>17212.634999999998</v>
      </c>
      <c r="AI80" s="231">
        <f>+Janvier!AK80</f>
        <v>59198.798076923078</v>
      </c>
      <c r="AJ80" s="231">
        <f>+Janvier!AL80</f>
        <v>39426.39951923077</v>
      </c>
      <c r="AK80" s="231">
        <f>+Janvier!AM80</f>
        <v>39426.39951923077</v>
      </c>
      <c r="AL80" s="231">
        <f>+Janvier!AN80</f>
        <v>24863.495192307691</v>
      </c>
      <c r="AM80" s="231">
        <f>+Janvier!AO80</f>
        <v>14799.69951923077</v>
      </c>
      <c r="AN80" s="231">
        <f>+Janvier!AP80</f>
        <v>29599.399038461539</v>
      </c>
      <c r="AO80" s="231">
        <f>+Janvier!AQ80</f>
        <v>14799.69951923077</v>
      </c>
      <c r="AP80" s="231">
        <f>+Janvier!AR80</f>
        <v>14799.69951923077</v>
      </c>
      <c r="AQ80" s="231">
        <f>+Janvier!AS80</f>
        <v>26721.713076923079</v>
      </c>
      <c r="AR80" s="16">
        <f>ROUND(E80/(AH80/15),0)</f>
        <v>0</v>
      </c>
      <c r="AS80" s="16">
        <f t="shared" ref="AS80" si="126">ROUND(H80/(AI80/15),0)</f>
        <v>0</v>
      </c>
      <c r="AT80" s="16">
        <f t="shared" ref="AT80" si="127">ROUND(K80/(AJ80/15),0)</f>
        <v>0</v>
      </c>
      <c r="AU80" s="16">
        <f t="shared" ref="AU80" si="128">ROUND(N80/(AK80/15),0)</f>
        <v>0</v>
      </c>
      <c r="AV80" s="16">
        <f t="shared" ref="AV80" si="129">ROUND(Q80/(AL80/15),0)</f>
        <v>0</v>
      </c>
      <c r="AW80" s="16">
        <f t="shared" ref="AW80" si="130">ROUND(T80/(AM80/15),0)</f>
        <v>0</v>
      </c>
      <c r="AX80" s="16">
        <f t="shared" ref="AX80" si="131">ROUND(W80/(AN80/15),0)</f>
        <v>0</v>
      </c>
      <c r="AY80" s="16">
        <f t="shared" ref="AY80" si="132">ROUND(Z80/(AO80/15),0)</f>
        <v>0</v>
      </c>
      <c r="AZ80" s="16">
        <f t="shared" ref="AZ80" si="133">ROUND(AC80/(AP80/15),0)</f>
        <v>0</v>
      </c>
      <c r="BA80" s="17">
        <f t="shared" ref="BA80" si="134">ROUND(AF80/(AQ80/15),0)</f>
        <v>0</v>
      </c>
    </row>
    <row r="81" spans="1:53" ht="15.6" x14ac:dyDescent="0.3">
      <c r="A81" s="199" t="s">
        <v>74</v>
      </c>
      <c r="B81" s="257"/>
      <c r="C81" s="94"/>
      <c r="D81" s="116"/>
      <c r="E81" s="106"/>
      <c r="F81" s="117"/>
      <c r="G81" s="116"/>
      <c r="H81" s="106"/>
      <c r="I81" s="117"/>
      <c r="J81" s="116"/>
      <c r="K81" s="106"/>
      <c r="L81" s="117"/>
      <c r="M81" s="116"/>
      <c r="N81" s="106"/>
      <c r="O81" s="117"/>
      <c r="P81" s="116"/>
      <c r="Q81" s="106"/>
      <c r="R81" s="117"/>
      <c r="S81" s="116"/>
      <c r="T81" s="106"/>
      <c r="U81" s="117"/>
      <c r="V81" s="116"/>
      <c r="W81" s="106"/>
      <c r="X81" s="117"/>
      <c r="Y81" s="116"/>
      <c r="Z81" s="106"/>
      <c r="AA81" s="117"/>
      <c r="AB81" s="116"/>
      <c r="AC81" s="106"/>
      <c r="AD81" s="117"/>
      <c r="AE81" s="116"/>
      <c r="AF81" s="106"/>
      <c r="AG81" s="117"/>
      <c r="AH81" s="231">
        <f>+Janvier!AJ81</f>
        <v>1153.1868131868132</v>
      </c>
      <c r="AI81" s="231">
        <f>+Janvier!AK81</f>
        <v>3587.6923076923085</v>
      </c>
      <c r="AJ81" s="231">
        <f>+Janvier!AL81</f>
        <v>2690.7692307692309</v>
      </c>
      <c r="AK81" s="231">
        <f>+Janvier!AM81</f>
        <v>2690.7692307692309</v>
      </c>
      <c r="AL81" s="231">
        <f>+Janvier!AN81</f>
        <v>1630.7692307692312</v>
      </c>
      <c r="AM81" s="231">
        <f>+Janvier!AO81</f>
        <v>1009.0384615384617</v>
      </c>
      <c r="AN81" s="231">
        <f>+Janvier!AP81</f>
        <v>2018.0769230769233</v>
      </c>
      <c r="AO81" s="231">
        <f>+Janvier!AQ81</f>
        <v>1009.0384615384617</v>
      </c>
      <c r="AP81" s="231">
        <f>+Janvier!AR81</f>
        <v>1009.0384615384617</v>
      </c>
      <c r="AQ81" s="231">
        <f>+Janvier!AS81</f>
        <v>1793.8461538461543</v>
      </c>
      <c r="AR81" s="16">
        <f>ROUND(E81/(AH81/5),0)</f>
        <v>0</v>
      </c>
      <c r="AS81" s="16">
        <f t="shared" ref="AS81:AS85" si="135">ROUND(H81/(AI81/5),0)</f>
        <v>0</v>
      </c>
      <c r="AT81" s="16">
        <f t="shared" ref="AT81:AT85" si="136">ROUND(K81/(AJ81/5),0)</f>
        <v>0</v>
      </c>
      <c r="AU81" s="16">
        <f t="shared" ref="AU81:AU85" si="137">ROUND(N81/(AK81/5),0)</f>
        <v>0</v>
      </c>
      <c r="AV81" s="16">
        <f t="shared" ref="AV81:AV85" si="138">ROUND(Q81/(AL81/5),0)</f>
        <v>0</v>
      </c>
      <c r="AW81" s="16">
        <f t="shared" ref="AW81:AW85" si="139">ROUND(T81/(AM81/5),0)</f>
        <v>0</v>
      </c>
      <c r="AX81" s="16">
        <f t="shared" ref="AX81:AX85" si="140">ROUND(W81/(AN81/5),0)</f>
        <v>0</v>
      </c>
      <c r="AY81" s="16">
        <f t="shared" ref="AY81:AY85" si="141">ROUND(Z81/(AO81/5),0)</f>
        <v>0</v>
      </c>
      <c r="AZ81" s="16">
        <f t="shared" ref="AZ81:AZ85" si="142">ROUND(AC81/(AP81/5),0)</f>
        <v>0</v>
      </c>
      <c r="BA81" s="17">
        <f t="shared" ref="BA81:BA85" si="143">ROUND(AF81/(AQ81/5),0)</f>
        <v>0</v>
      </c>
    </row>
    <row r="82" spans="1:53" ht="15.6" x14ac:dyDescent="0.3">
      <c r="A82" s="199" t="s">
        <v>75</v>
      </c>
      <c r="B82" s="257"/>
      <c r="C82" s="94"/>
      <c r="D82" s="95"/>
      <c r="E82" s="96"/>
      <c r="F82" s="97"/>
      <c r="G82" s="95"/>
      <c r="H82" s="96"/>
      <c r="I82" s="97"/>
      <c r="J82" s="95"/>
      <c r="K82" s="96"/>
      <c r="L82" s="97"/>
      <c r="M82" s="95"/>
      <c r="N82" s="96"/>
      <c r="O82" s="97"/>
      <c r="P82" s="95"/>
      <c r="Q82" s="96"/>
      <c r="R82" s="97"/>
      <c r="S82" s="95"/>
      <c r="T82" s="96"/>
      <c r="U82" s="97"/>
      <c r="V82" s="95"/>
      <c r="W82" s="96"/>
      <c r="X82" s="97"/>
      <c r="Y82" s="95"/>
      <c r="Z82" s="96"/>
      <c r="AA82" s="97"/>
      <c r="AB82" s="95"/>
      <c r="AC82" s="96"/>
      <c r="AD82" s="97"/>
      <c r="AE82" s="95"/>
      <c r="AF82" s="96"/>
      <c r="AG82" s="97"/>
      <c r="AH82" s="231">
        <f>+Janvier!AJ82</f>
        <v>1355.5631868131868</v>
      </c>
      <c r="AI82" s="231">
        <f>+Janvier!AK82</f>
        <v>4217.3076923076924</v>
      </c>
      <c r="AJ82" s="231">
        <f>+Janvier!AL82</f>
        <v>3162.9807692307691</v>
      </c>
      <c r="AK82" s="231">
        <f>+Janvier!AM82</f>
        <v>3162.9807692307691</v>
      </c>
      <c r="AL82" s="231">
        <f>+Janvier!AN82</f>
        <v>1916.9580419580418</v>
      </c>
      <c r="AM82" s="231">
        <f>+Janvier!AO82</f>
        <v>1186.1177884615383</v>
      </c>
      <c r="AN82" s="231">
        <f>+Janvier!AP82</f>
        <v>2372.2355769230767</v>
      </c>
      <c r="AO82" s="231">
        <f>+Janvier!AQ82</f>
        <v>1186.1177884615383</v>
      </c>
      <c r="AP82" s="231">
        <f>+Janvier!AR82</f>
        <v>1186.1177884615383</v>
      </c>
      <c r="AQ82" s="231">
        <f>+Janvier!AS82</f>
        <v>2108.6538461538462</v>
      </c>
      <c r="AR82" s="16">
        <f>ROUND(E82/(AH82/5),0)</f>
        <v>0</v>
      </c>
      <c r="AS82" s="16">
        <f t="shared" si="135"/>
        <v>0</v>
      </c>
      <c r="AT82" s="16">
        <f t="shared" si="136"/>
        <v>0</v>
      </c>
      <c r="AU82" s="16">
        <f t="shared" si="137"/>
        <v>0</v>
      </c>
      <c r="AV82" s="16">
        <f t="shared" si="138"/>
        <v>0</v>
      </c>
      <c r="AW82" s="16">
        <f t="shared" si="139"/>
        <v>0</v>
      </c>
      <c r="AX82" s="16">
        <f t="shared" si="140"/>
        <v>0</v>
      </c>
      <c r="AY82" s="16">
        <f t="shared" si="141"/>
        <v>0</v>
      </c>
      <c r="AZ82" s="16">
        <f t="shared" si="142"/>
        <v>0</v>
      </c>
      <c r="BA82" s="17">
        <f t="shared" si="143"/>
        <v>0</v>
      </c>
    </row>
    <row r="83" spans="1:53" ht="15.6" x14ac:dyDescent="0.3">
      <c r="A83" s="199" t="s">
        <v>76</v>
      </c>
      <c r="B83" s="257"/>
      <c r="C83" s="94"/>
      <c r="D83" s="95"/>
      <c r="E83" s="96"/>
      <c r="F83" s="97"/>
      <c r="G83" s="95"/>
      <c r="H83" s="96"/>
      <c r="I83" s="97"/>
      <c r="J83" s="95"/>
      <c r="K83" s="96"/>
      <c r="L83" s="97"/>
      <c r="M83" s="95"/>
      <c r="N83" s="96"/>
      <c r="O83" s="97"/>
      <c r="P83" s="95"/>
      <c r="Q83" s="96"/>
      <c r="R83" s="97"/>
      <c r="S83" s="95"/>
      <c r="T83" s="96"/>
      <c r="U83" s="97"/>
      <c r="V83" s="95"/>
      <c r="W83" s="96"/>
      <c r="X83" s="97"/>
      <c r="Y83" s="95"/>
      <c r="Z83" s="96"/>
      <c r="AA83" s="97"/>
      <c r="AB83" s="95"/>
      <c r="AC83" s="96"/>
      <c r="AD83" s="97"/>
      <c r="AE83" s="95"/>
      <c r="AF83" s="96"/>
      <c r="AG83" s="97"/>
      <c r="AH83" s="231">
        <f>+Janvier!AJ83</f>
        <v>895.92032967032981</v>
      </c>
      <c r="AI83" s="231">
        <f>+Janvier!AK83</f>
        <v>2787.3076923076928</v>
      </c>
      <c r="AJ83" s="231">
        <f>+Janvier!AL83</f>
        <v>2090.4807692307695</v>
      </c>
      <c r="AK83" s="231">
        <f>+Janvier!AM83</f>
        <v>2090.4807692307695</v>
      </c>
      <c r="AL83" s="231">
        <f>+Janvier!AN83</f>
        <v>1266.958041958042</v>
      </c>
      <c r="AM83" s="231">
        <f>+Janvier!AO83</f>
        <v>783.93028846153834</v>
      </c>
      <c r="AN83" s="231">
        <f>+Janvier!AP83</f>
        <v>1567.8605769230767</v>
      </c>
      <c r="AO83" s="231">
        <f>+Janvier!AQ83</f>
        <v>783.93028846153834</v>
      </c>
      <c r="AP83" s="231">
        <f>+Janvier!AR83</f>
        <v>783.93028846153834</v>
      </c>
      <c r="AQ83" s="231">
        <f>+Janvier!AS83</f>
        <v>1393.6538461538464</v>
      </c>
      <c r="AR83" s="16">
        <f>ROUND(E83/(AH83/5),0)</f>
        <v>0</v>
      </c>
      <c r="AS83" s="16">
        <f t="shared" si="135"/>
        <v>0</v>
      </c>
      <c r="AT83" s="16">
        <f t="shared" si="136"/>
        <v>0</v>
      </c>
      <c r="AU83" s="16">
        <f t="shared" si="137"/>
        <v>0</v>
      </c>
      <c r="AV83" s="16">
        <f t="shared" si="138"/>
        <v>0</v>
      </c>
      <c r="AW83" s="16">
        <f t="shared" si="139"/>
        <v>0</v>
      </c>
      <c r="AX83" s="16">
        <f t="shared" si="140"/>
        <v>0</v>
      </c>
      <c r="AY83" s="16">
        <f t="shared" si="141"/>
        <v>0</v>
      </c>
      <c r="AZ83" s="16">
        <f t="shared" si="142"/>
        <v>0</v>
      </c>
      <c r="BA83" s="17">
        <f t="shared" si="143"/>
        <v>0</v>
      </c>
    </row>
    <row r="84" spans="1:53" ht="15.6" x14ac:dyDescent="0.3">
      <c r="A84" s="199" t="s">
        <v>77</v>
      </c>
      <c r="B84" s="257"/>
      <c r="C84" s="94"/>
      <c r="D84" s="95"/>
      <c r="E84" s="96"/>
      <c r="F84" s="97"/>
      <c r="G84" s="95"/>
      <c r="H84" s="96"/>
      <c r="I84" s="97"/>
      <c r="J84" s="95"/>
      <c r="K84" s="96"/>
      <c r="L84" s="97"/>
      <c r="M84" s="95"/>
      <c r="N84" s="96"/>
      <c r="O84" s="97"/>
      <c r="P84" s="95"/>
      <c r="Q84" s="96"/>
      <c r="R84" s="97"/>
      <c r="S84" s="95"/>
      <c r="T84" s="96"/>
      <c r="U84" s="97"/>
      <c r="V84" s="95"/>
      <c r="W84" s="96"/>
      <c r="X84" s="97"/>
      <c r="Y84" s="95"/>
      <c r="Z84" s="96"/>
      <c r="AA84" s="97"/>
      <c r="AB84" s="95"/>
      <c r="AC84" s="96"/>
      <c r="AD84" s="97"/>
      <c r="AE84" s="95"/>
      <c r="AF84" s="96"/>
      <c r="AG84" s="97"/>
      <c r="AH84" s="231">
        <f>+Janvier!AJ84</f>
        <v>1507.1291208791208</v>
      </c>
      <c r="AI84" s="231">
        <f>+Janvier!AK84</f>
        <v>4688.8461538461534</v>
      </c>
      <c r="AJ84" s="231">
        <f>+Janvier!AL84</f>
        <v>3516.6346153846152</v>
      </c>
      <c r="AK84" s="231">
        <f>+Janvier!AM84</f>
        <v>3516.6346153846152</v>
      </c>
      <c r="AL84" s="231">
        <f>+Janvier!AN84</f>
        <v>2131.2937062937062</v>
      </c>
      <c r="AM84" s="231">
        <f>+Janvier!AO84</f>
        <v>1318.7379807692307</v>
      </c>
      <c r="AN84" s="231">
        <f>+Janvier!AP84</f>
        <v>2637.4759615384614</v>
      </c>
      <c r="AO84" s="231">
        <f>+Janvier!AQ84</f>
        <v>1318.7379807692307</v>
      </c>
      <c r="AP84" s="231">
        <f>+Janvier!AR84</f>
        <v>1318.7379807692307</v>
      </c>
      <c r="AQ84" s="231">
        <f>+Janvier!AS84</f>
        <v>2344.4230769230767</v>
      </c>
      <c r="AR84" s="16">
        <f>ROUND(E84/(AH84/5),0)</f>
        <v>0</v>
      </c>
      <c r="AS84" s="16">
        <f t="shared" si="135"/>
        <v>0</v>
      </c>
      <c r="AT84" s="16">
        <f t="shared" si="136"/>
        <v>0</v>
      </c>
      <c r="AU84" s="16">
        <f t="shared" si="137"/>
        <v>0</v>
      </c>
      <c r="AV84" s="16">
        <f t="shared" si="138"/>
        <v>0</v>
      </c>
      <c r="AW84" s="16">
        <f t="shared" si="139"/>
        <v>0</v>
      </c>
      <c r="AX84" s="16">
        <f t="shared" si="140"/>
        <v>0</v>
      </c>
      <c r="AY84" s="16">
        <f t="shared" si="141"/>
        <v>0</v>
      </c>
      <c r="AZ84" s="16">
        <f t="shared" si="142"/>
        <v>0</v>
      </c>
      <c r="BA84" s="17">
        <f t="shared" si="143"/>
        <v>0</v>
      </c>
    </row>
    <row r="85" spans="1:53" ht="15" thickBot="1" x14ac:dyDescent="0.35">
      <c r="A85" s="121" t="s">
        <v>78</v>
      </c>
      <c r="B85" s="258"/>
      <c r="C85" s="143"/>
      <c r="D85" s="111"/>
      <c r="E85" s="109"/>
      <c r="F85" s="110"/>
      <c r="G85" s="111"/>
      <c r="H85" s="109"/>
      <c r="I85" s="110"/>
      <c r="J85" s="111"/>
      <c r="K85" s="109"/>
      <c r="L85" s="110"/>
      <c r="M85" s="111"/>
      <c r="N85" s="109"/>
      <c r="O85" s="110"/>
      <c r="P85" s="111"/>
      <c r="Q85" s="109"/>
      <c r="R85" s="110"/>
      <c r="S85" s="111"/>
      <c r="T85" s="109"/>
      <c r="U85" s="110"/>
      <c r="V85" s="111"/>
      <c r="W85" s="109"/>
      <c r="X85" s="110"/>
      <c r="Y85" s="111"/>
      <c r="Z85" s="109"/>
      <c r="AA85" s="110"/>
      <c r="AB85" s="111"/>
      <c r="AC85" s="109"/>
      <c r="AD85" s="110"/>
      <c r="AE85" s="111"/>
      <c r="AF85" s="109"/>
      <c r="AG85" s="110"/>
      <c r="AH85" s="231">
        <f>+Janvier!AJ85</f>
        <v>726.18131868131866</v>
      </c>
      <c r="AI85" s="231">
        <f>+Janvier!AK85</f>
        <v>2259.2307692307695</v>
      </c>
      <c r="AJ85" s="231">
        <f>+Janvier!AL85</f>
        <v>1694.4230769230774</v>
      </c>
      <c r="AK85" s="231">
        <f>+Janvier!AM85</f>
        <v>1694.4230769230774</v>
      </c>
      <c r="AL85" s="231">
        <f>+Janvier!AN85</f>
        <v>1026.9230769230771</v>
      </c>
      <c r="AM85" s="231">
        <f>+Janvier!AO85</f>
        <v>635.40865384615381</v>
      </c>
      <c r="AN85" s="231">
        <f>+Janvier!AP85</f>
        <v>1270.8173076923076</v>
      </c>
      <c r="AO85" s="231">
        <f>+Janvier!AQ85</f>
        <v>635.40865384615381</v>
      </c>
      <c r="AP85" s="231">
        <f>+Janvier!AR85</f>
        <v>635.40865384615381</v>
      </c>
      <c r="AQ85" s="231">
        <f>+Janvier!AS85</f>
        <v>1129.6153846153848</v>
      </c>
      <c r="AR85" s="16">
        <f>ROUND(E85/(AH85/5),0)</f>
        <v>0</v>
      </c>
      <c r="AS85" s="16">
        <f t="shared" si="135"/>
        <v>0</v>
      </c>
      <c r="AT85" s="16">
        <f t="shared" si="136"/>
        <v>0</v>
      </c>
      <c r="AU85" s="16">
        <f t="shared" si="137"/>
        <v>0</v>
      </c>
      <c r="AV85" s="16">
        <f t="shared" si="138"/>
        <v>0</v>
      </c>
      <c r="AW85" s="16">
        <f t="shared" si="139"/>
        <v>0</v>
      </c>
      <c r="AX85" s="16">
        <f t="shared" si="140"/>
        <v>0</v>
      </c>
      <c r="AY85" s="16">
        <f t="shared" si="141"/>
        <v>0</v>
      </c>
      <c r="AZ85" s="16">
        <f t="shared" si="142"/>
        <v>0</v>
      </c>
      <c r="BA85" s="17">
        <f t="shared" si="143"/>
        <v>0</v>
      </c>
    </row>
    <row r="86" spans="1:53" x14ac:dyDescent="0.3">
      <c r="B86" s="192"/>
      <c r="C86" s="3"/>
      <c r="D86" s="3"/>
      <c r="E86" s="192"/>
      <c r="F86" s="192"/>
      <c r="G86" s="192"/>
      <c r="H86" s="192"/>
      <c r="I86" s="192"/>
      <c r="J86" s="192"/>
      <c r="K86" s="192"/>
      <c r="L86" s="192"/>
      <c r="M86" s="192"/>
      <c r="N86" s="192"/>
      <c r="O86" s="192"/>
      <c r="P86" s="192"/>
      <c r="Q86" s="192"/>
      <c r="R86" s="192"/>
      <c r="S86" s="192"/>
      <c r="T86" s="192"/>
      <c r="U86" s="192"/>
      <c r="V86" s="192"/>
      <c r="W86" s="192"/>
      <c r="X86" s="192"/>
      <c r="Y86" s="192"/>
      <c r="Z86" s="192"/>
      <c r="AA86" s="192"/>
      <c r="AB86" s="192"/>
      <c r="AC86" s="192"/>
      <c r="AD86" s="192"/>
      <c r="AE86" s="192"/>
      <c r="AF86" s="192"/>
      <c r="AG86" s="192"/>
      <c r="AR86" s="183" t="s">
        <v>2</v>
      </c>
      <c r="AS86" s="183" t="s">
        <v>80</v>
      </c>
      <c r="AT86" s="183" t="s">
        <v>81</v>
      </c>
      <c r="AU86" s="183" t="s">
        <v>5</v>
      </c>
      <c r="AV86" s="183" t="s">
        <v>82</v>
      </c>
      <c r="AW86" s="183" t="s">
        <v>7</v>
      </c>
      <c r="AX86" s="183" t="s">
        <v>8</v>
      </c>
      <c r="AY86" s="183" t="s">
        <v>9</v>
      </c>
      <c r="AZ86" s="183" t="s">
        <v>10</v>
      </c>
      <c r="BA86" s="183" t="s">
        <v>11</v>
      </c>
    </row>
    <row r="87" spans="1:53" x14ac:dyDescent="0.3">
      <c r="B87" s="192"/>
      <c r="C87" s="3"/>
      <c r="D87" s="3"/>
      <c r="E87" s="192"/>
      <c r="F87" s="192"/>
      <c r="G87" s="192"/>
      <c r="H87" s="192"/>
      <c r="I87" s="192"/>
      <c r="J87" s="192"/>
      <c r="K87" s="192"/>
      <c r="L87" s="192"/>
      <c r="M87" s="192"/>
      <c r="N87" s="192"/>
      <c r="O87" s="192"/>
      <c r="P87" s="192"/>
      <c r="Q87" s="192"/>
      <c r="R87" s="192"/>
      <c r="S87" s="192"/>
      <c r="T87" s="192"/>
      <c r="U87" s="192"/>
      <c r="V87" s="192"/>
      <c r="W87" s="192"/>
      <c r="X87" s="192"/>
      <c r="Y87" s="192"/>
      <c r="Z87" s="192"/>
      <c r="AA87" s="192"/>
      <c r="AB87" s="192"/>
      <c r="AC87" s="192"/>
      <c r="AD87" s="192"/>
      <c r="AE87" s="192"/>
      <c r="AF87" s="192"/>
      <c r="AG87" s="192"/>
    </row>
  </sheetData>
  <mergeCells count="16">
    <mergeCell ref="D3:AF3"/>
    <mergeCell ref="AE4:AG4"/>
    <mergeCell ref="A1:AF1"/>
    <mergeCell ref="AH3:AQ3"/>
    <mergeCell ref="AR3:BA3"/>
    <mergeCell ref="A4:A5"/>
    <mergeCell ref="B4:C4"/>
    <mergeCell ref="D4:F4"/>
    <mergeCell ref="G4:I4"/>
    <mergeCell ref="J4:L4"/>
    <mergeCell ref="M4:O4"/>
    <mergeCell ref="P4:R4"/>
    <mergeCell ref="S4:U4"/>
    <mergeCell ref="V4:X4"/>
    <mergeCell ref="Y4:AA4"/>
    <mergeCell ref="AB4:AD4"/>
  </mergeCells>
  <conditionalFormatting sqref="AR6:BA6 AR14:BA14 AR21:BA21 AR30:BA30 AR40:BA40 AR54:BA54 AR68:BA68 AR80:BA80">
    <cfRule type="cellIs" dxfId="31" priority="5" operator="lessThanOrEqual">
      <formula>3</formula>
    </cfRule>
    <cfRule type="cellIs" dxfId="30" priority="6" operator="between">
      <formula>3.01</formula>
      <formula>5</formula>
    </cfRule>
    <cfRule type="cellIs" dxfId="29" priority="7" operator="between">
      <formula>5.01</formula>
      <formula>15</formula>
    </cfRule>
    <cfRule type="cellIs" dxfId="28" priority="8" operator="greaterThan">
      <formula>15</formula>
    </cfRule>
  </conditionalFormatting>
  <conditionalFormatting sqref="AR7:BA13 AR15:BA20 AR22:BA29 AR31:BA39 AR41:BA53 AR55:BA67 AR69:BA79 AR81:BA85">
    <cfRule type="cellIs" dxfId="27" priority="1" operator="lessThanOrEqual">
      <formula>1</formula>
    </cfRule>
    <cfRule type="cellIs" dxfId="26" priority="2" operator="between">
      <formula>1.01</formula>
      <formula>2</formula>
    </cfRule>
    <cfRule type="cellIs" dxfId="25" priority="3" operator="between">
      <formula>2.01</formula>
      <formula>5</formula>
    </cfRule>
    <cfRule type="cellIs" dxfId="24" priority="4" operator="greaterThan">
      <formula>5</formula>
    </cfRule>
  </conditionalFormatting>
  <dataValidations count="1">
    <dataValidation type="decimal" allowBlank="1" showInputMessage="1" showErrorMessage="1" promptTitle="Coverage:" prompt="Indicate the targeted immunization coverage for the current year." sqref="AH5:AQ5" xr:uid="{00000000-0002-0000-0B00-000000000000}">
      <formula1>0</formula1>
      <formula2>1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G87"/>
  <sheetViews>
    <sheetView zoomScale="90" zoomScaleNormal="90" workbookViewId="0">
      <pane xSplit="1" ySplit="5" topLeftCell="B16" activePane="bottomRight" state="frozen"/>
      <selection pane="topRight" activeCell="B1" sqref="B1"/>
      <selection pane="bottomLeft" activeCell="A6" sqref="A6"/>
      <selection pane="bottomRight" activeCell="I16" sqref="I16"/>
    </sheetView>
  </sheetViews>
  <sheetFormatPr defaultColWidth="11.5546875" defaultRowHeight="14.4" x14ac:dyDescent="0.3"/>
  <cols>
    <col min="1" max="1" width="19.33203125" style="183" bestFit="1" customWidth="1"/>
    <col min="2" max="2" width="13.109375" style="183" customWidth="1"/>
    <col min="3" max="3" width="10.6640625" style="183" customWidth="1"/>
    <col min="4" max="4" width="11.109375" style="183" customWidth="1"/>
    <col min="5" max="7" width="12.5546875" style="183" customWidth="1"/>
    <col min="8" max="8" width="13.88671875" style="183" customWidth="1"/>
    <col min="9" max="9" width="9.88671875" style="183" customWidth="1"/>
    <col min="10" max="10" width="11.6640625" style="183" customWidth="1"/>
    <col min="11" max="11" width="11.88671875" style="183" customWidth="1"/>
    <col min="12" max="12" width="10.33203125" style="183" customWidth="1"/>
    <col min="13" max="13" width="13.44140625" style="183" customWidth="1"/>
    <col min="14" max="14" width="10.44140625" style="183" customWidth="1"/>
    <col min="15" max="15" width="13.44140625" style="183" customWidth="1"/>
    <col min="16" max="16" width="9.5546875" style="183" customWidth="1"/>
    <col min="17" max="17" width="12.6640625" style="183" customWidth="1"/>
    <col min="18" max="18" width="9.5546875" style="183" customWidth="1"/>
    <col min="19" max="19" width="10" style="183" customWidth="1"/>
    <col min="20" max="20" width="9.6640625" style="183" customWidth="1"/>
    <col min="21" max="21" width="12.33203125" style="183" customWidth="1"/>
    <col min="22" max="22" width="10" style="183" customWidth="1"/>
    <col min="23" max="23" width="14" style="183" customWidth="1"/>
    <col min="24" max="24" width="9" style="183" customWidth="1"/>
    <col min="25" max="25" width="8.88671875" style="183" customWidth="1"/>
    <col min="26" max="26" width="9.6640625" style="183" customWidth="1"/>
    <col min="27" max="16384" width="11.5546875" style="183"/>
  </cols>
  <sheetData>
    <row r="1" spans="1:33" ht="18" hidden="1" x14ac:dyDescent="0.35">
      <c r="A1" s="414" t="s">
        <v>0</v>
      </c>
      <c r="B1" s="414"/>
      <c r="C1" s="414"/>
      <c r="D1" s="414"/>
      <c r="E1" s="414"/>
      <c r="F1" s="414"/>
      <c r="G1" s="414"/>
      <c r="H1" s="414"/>
      <c r="I1" s="414"/>
      <c r="J1" s="414"/>
      <c r="K1" s="414"/>
      <c r="L1" s="414"/>
      <c r="M1" s="414"/>
      <c r="N1" s="414"/>
      <c r="O1" s="414"/>
      <c r="P1" s="414"/>
      <c r="Q1" s="414"/>
      <c r="R1" s="414"/>
      <c r="S1" s="414"/>
      <c r="T1" s="414"/>
      <c r="U1" s="414"/>
      <c r="V1" s="414"/>
      <c r="W1" s="118"/>
    </row>
    <row r="2" spans="1:33" ht="18" hidden="1" x14ac:dyDescent="0.35">
      <c r="A2" s="118"/>
      <c r="B2" s="195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9"/>
      <c r="X2" s="10"/>
    </row>
    <row r="3" spans="1:33" ht="18.600000000000001" thickBot="1" x14ac:dyDescent="0.4"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  <c r="R3" s="413"/>
      <c r="S3" s="413"/>
      <c r="T3" s="413"/>
      <c r="U3" s="413"/>
      <c r="V3" s="413"/>
      <c r="W3" s="119"/>
      <c r="X3" s="455" t="s">
        <v>142</v>
      </c>
      <c r="Y3" s="455"/>
      <c r="Z3" s="455"/>
      <c r="AA3" s="455"/>
      <c r="AB3" s="455"/>
      <c r="AC3" s="455"/>
      <c r="AD3" s="455"/>
      <c r="AE3" s="455"/>
      <c r="AF3" s="455"/>
      <c r="AG3" s="455"/>
    </row>
    <row r="4" spans="1:33" ht="16.2" thickBot="1" x14ac:dyDescent="0.35">
      <c r="A4" s="450" t="s">
        <v>1</v>
      </c>
      <c r="B4" s="206" t="s">
        <v>83</v>
      </c>
      <c r="C4" s="206" t="s">
        <v>83</v>
      </c>
      <c r="D4" s="420" t="s">
        <v>2</v>
      </c>
      <c r="E4" s="421"/>
      <c r="F4" s="422" t="s">
        <v>3</v>
      </c>
      <c r="G4" s="424"/>
      <c r="H4" s="425" t="s">
        <v>4</v>
      </c>
      <c r="I4" s="427"/>
      <c r="J4" s="446" t="s">
        <v>5</v>
      </c>
      <c r="K4" s="448"/>
      <c r="L4" s="428" t="s">
        <v>6</v>
      </c>
      <c r="M4" s="430"/>
      <c r="N4" s="431" t="s">
        <v>7</v>
      </c>
      <c r="O4" s="433"/>
      <c r="P4" s="434" t="s">
        <v>8</v>
      </c>
      <c r="Q4" s="436"/>
      <c r="R4" s="437" t="s">
        <v>9</v>
      </c>
      <c r="S4" s="439"/>
      <c r="T4" s="440" t="s">
        <v>10</v>
      </c>
      <c r="U4" s="442"/>
      <c r="V4" s="443" t="s">
        <v>11</v>
      </c>
      <c r="W4" s="445"/>
      <c r="X4" s="193" t="s">
        <v>2</v>
      </c>
      <c r="Y4" s="186" t="s">
        <v>3</v>
      </c>
      <c r="Z4" s="186" t="s">
        <v>4</v>
      </c>
      <c r="AA4" s="186" t="s">
        <v>5</v>
      </c>
      <c r="AB4" s="186" t="s">
        <v>6</v>
      </c>
      <c r="AC4" s="186" t="s">
        <v>7</v>
      </c>
      <c r="AD4" s="186" t="s">
        <v>8</v>
      </c>
      <c r="AE4" s="186" t="s">
        <v>9</v>
      </c>
      <c r="AF4" s="186" t="s">
        <v>10</v>
      </c>
      <c r="AG4" s="194" t="s">
        <v>11</v>
      </c>
    </row>
    <row r="5" spans="1:33" ht="15.75" customHeight="1" thickBot="1" x14ac:dyDescent="0.35">
      <c r="A5" s="451"/>
      <c r="B5" s="272" t="s">
        <v>140</v>
      </c>
      <c r="C5" s="272" t="s">
        <v>141</v>
      </c>
      <c r="D5" s="187" t="s">
        <v>95</v>
      </c>
      <c r="E5" s="189" t="s">
        <v>97</v>
      </c>
      <c r="F5" s="190" t="s">
        <v>95</v>
      </c>
      <c r="G5" s="191" t="s">
        <v>97</v>
      </c>
      <c r="H5" s="137" t="s">
        <v>95</v>
      </c>
      <c r="I5" s="139" t="s">
        <v>97</v>
      </c>
      <c r="J5" s="187" t="s">
        <v>95</v>
      </c>
      <c r="K5" s="189" t="s">
        <v>97</v>
      </c>
      <c r="L5" s="190" t="s">
        <v>95</v>
      </c>
      <c r="M5" s="189" t="s">
        <v>97</v>
      </c>
      <c r="N5" s="190" t="s">
        <v>95</v>
      </c>
      <c r="O5" s="189" t="s">
        <v>97</v>
      </c>
      <c r="P5" s="190" t="s">
        <v>95</v>
      </c>
      <c r="Q5" s="189" t="s">
        <v>97</v>
      </c>
      <c r="R5" s="190" t="s">
        <v>95</v>
      </c>
      <c r="S5" s="189" t="s">
        <v>97</v>
      </c>
      <c r="T5" s="190" t="s">
        <v>95</v>
      </c>
      <c r="U5" s="189" t="s">
        <v>97</v>
      </c>
      <c r="V5" s="190" t="s">
        <v>95</v>
      </c>
      <c r="W5" s="189" t="s">
        <v>97</v>
      </c>
      <c r="X5" s="11"/>
      <c r="Y5" s="12"/>
      <c r="Z5" s="12"/>
      <c r="AA5" s="12"/>
      <c r="AB5" s="12"/>
      <c r="AC5" s="12"/>
      <c r="AD5" s="12"/>
      <c r="AE5" s="12"/>
      <c r="AF5" s="12"/>
      <c r="AG5" s="13"/>
    </row>
    <row r="6" spans="1:33" ht="15" thickBot="1" x14ac:dyDescent="0.35">
      <c r="A6" s="279" t="s">
        <v>87</v>
      </c>
      <c r="B6" s="280">
        <v>23064</v>
      </c>
      <c r="C6" s="281">
        <v>22979</v>
      </c>
      <c r="D6" s="289">
        <f>+Janvier!F6+Fevrier!D6+Mars!D6+Avril!D6+Mai!D6+Juin!D6+Juillet!D6+Aout!D6+Sept!D6+Oct!D6+Nov!D6+Dec!D6</f>
        <v>35800</v>
      </c>
      <c r="E6" s="290">
        <f>+Janvier!H6+Fevrier!F6+Mars!F6+Avril!F6+Mai!F6+Juin!F6+Juillet!F6+Aout!F6+Sept!F6+Oct!F6+Nov!F6+Dec!F6</f>
        <v>0</v>
      </c>
      <c r="F6" s="289">
        <f>Janvier!I6+Fevrier!G6+Mars!G6+Avril!G6+Mai!G6+Juin!G6+Juillet!G6+Aout!G6+Sept!G6+Oct!G6+Nov!G6+Dec!G6</f>
        <v>37000</v>
      </c>
      <c r="G6" s="290">
        <f>+Janvier!K6+Fevrier!I6+Mars!I6+Avril!I6+Mai!I6+Juin!I6+Juillet!I6+Aout!I6+Sept!I6+Oct!I6+Nov!I6+Dec!I6</f>
        <v>0</v>
      </c>
      <c r="H6" s="289">
        <f>Janvier!L6+Fevrier!J6+Mars!J6+Avril!J6+Mai!J6+Juin!J6+Juillet!J6+Aout!J6+Sept!J6+Oct!J6+Nov!J6+Dec!J6</f>
        <v>41800</v>
      </c>
      <c r="I6" s="290">
        <f>Janvier!N6+Fevrier!L6+Mars!L6+Avril!L6+Mai!L6+Juin!L6+Juillet!L6+Aout!L6+Sept!L6+Oct!L6+Nov!L6+Dec!L6</f>
        <v>0</v>
      </c>
      <c r="J6" s="289">
        <f>Janvier!O6+Fevrier!M6+Mars!M6+Avril!M6+Mai!M6+Juin!M6+Juillet!M6+Aout!M6+Sept!M6+Oct!M6+Nov!M6+Dec!M6</f>
        <v>38200</v>
      </c>
      <c r="K6" s="290">
        <f>Janvier!Q6+Fevrier!O6+Mars!O6+Avril!O6+Mai!O6+Juin!O6+Juillet!O6+Aout!O6+Sept!O6+Oct!O6+Nov!O6+Dec!O6</f>
        <v>0</v>
      </c>
      <c r="L6" s="289">
        <f>Janvier!R6+Fevrier!P6+Mars!P6+Avril!P6+Mai!P6+Juin!P6+Juillet!P6+Aout!P6+Sept!P6+Oct!P6+Nov!P6+Dec!P6</f>
        <v>23250</v>
      </c>
      <c r="M6" s="290">
        <f>Janvier!T6+Fevrier!R6+Mars!R6+Avril!R6+Mai!R6+Juin!R6+Juillet!R6+Aout!R6+Sept!R6+Oct!R6+Nov!R6+Dec!R6</f>
        <v>0</v>
      </c>
      <c r="N6" s="289">
        <f>Janvier!U6+Fevrier!S6+Mars!S6+Avril!S6+Mai!S6+Juin!S6+Juillet!S6+Aout!S6+Sept!S6+Oct!S6+Nov!S6+Dec!S6</f>
        <v>14300</v>
      </c>
      <c r="O6" s="290">
        <f>Janvier!W6+Fevrier!U6+Mars!U6+Avril!U6+Mai!U6+Juin!U6+Juillet!U6+Aout!U6+Sept!U6+Oct!U6+Nov!U6+Dec!U6</f>
        <v>0</v>
      </c>
      <c r="P6" s="289">
        <f>Janvier!X6+Fevrier!V6+Mars!V6+Avril!V6+Mai!V6+Juin!V6+Juillet!V6+Aout!V6+Sept!V6+Oct!V6+Nov!V6+Dec!V6</f>
        <v>23500</v>
      </c>
      <c r="Q6" s="290">
        <f>Janvier!Z6+Fevrier!X6+Mars!X6+Avril!X6+Mai!X6+Juin!X6+Juillet!X6+Aout!X6+Sept!X6+Oct!X6+Nov!X6+Dec!X6</f>
        <v>0</v>
      </c>
      <c r="R6" s="289">
        <f>Janvier!AA6+Fevrier!Y6+Mars!Y6+Avril!Y6+Mai!Y6+Juin!Y6+Juillet!Y6+Aout!Y6+Sept!Y6+Oct!Y6+Nov!Y6+Dec!Y6</f>
        <v>15000</v>
      </c>
      <c r="S6" s="290">
        <f>Janvier!AC6+Fevrier!AA6+Mars!AA6+Avril!AA6+Mai!AA6+Juin!AA6+Juillet!AA6+Aout!AA6+Sept!AA6+Oct!AA6+Nov!AA6+Dec!AA6</f>
        <v>0</v>
      </c>
      <c r="T6" s="289">
        <f>Janvier!AD6+Fevrier!AB6+Mars!AB6+Avril!AB6+Mai!AB6+Juin!AB6+Juillet!AB6+Aout!AB6+Sept!AB6+Oct!AB6+Nov!AB6+Dec!AB6</f>
        <v>13600</v>
      </c>
      <c r="U6" s="290">
        <f>Janvier!AF6+Fevrier!AD6+Mars!AD6+Avril!AD6+Mai!AD6+Juin!AD6+Juillet!AD6+Aout!AD6+Sept!AD6+Oct!AD6+Nov!AD6+Dec!AD6</f>
        <v>0</v>
      </c>
      <c r="V6" s="289">
        <f>Janvier!AG6+Fevrier!AE6+Mars!AE6+Avril!AE6+Mai!AE6+Juin!AE6+Juillet!AE6+Aout!AE6+Sept!AE6+Oct!AE6+Nov!AE6+Dec!AE6</f>
        <v>31600</v>
      </c>
      <c r="W6" s="290">
        <f>Janvier!AI6+Fevrier!AG6+Mars!AG6+Avril!AG6+Mai!AG6+Juin!AG6+Juillet!AG6+Aout!AG6+Sept!AG6+Oct!AG6+Nov!AG6+Dec!AG6</f>
        <v>0</v>
      </c>
      <c r="X6" s="309">
        <f>D6/(B6*0.9*1.42)</f>
        <v>1.2145559990381258</v>
      </c>
      <c r="Y6" s="309">
        <f>F6/(C6*0.9*4*1.11)</f>
        <v>0.40294439528522813</v>
      </c>
      <c r="Z6" s="309">
        <f>H6/(C6*0.9*3*1.11)</f>
        <v>0.60695768370892023</v>
      </c>
      <c r="AA6" s="309">
        <f>H6/(J6*0.9*3*1.11)</f>
        <v>0.36511205795673507</v>
      </c>
      <c r="AB6" s="309">
        <f>L6/(C6*0.9*3*1.11)</f>
        <v>0.33760206091465061</v>
      </c>
      <c r="AC6" s="309">
        <f>N6/(C6*0.9*1.11)</f>
        <v>0.62293025433283922</v>
      </c>
      <c r="AD6" s="309">
        <f>P6/(C6*0.9*2*1.25)</f>
        <v>0.45452127788173735</v>
      </c>
      <c r="AE6" s="309">
        <f>R6/(C6*0.9*1.25)</f>
        <v>0.58023992921072853</v>
      </c>
      <c r="AF6" s="309">
        <f>T6/(C6*0.9*1.25)</f>
        <v>0.52608420248439391</v>
      </c>
      <c r="AG6" s="310">
        <f>V6/(C6*0.9*1.25)</f>
        <v>1.2223721175372682</v>
      </c>
    </row>
    <row r="7" spans="1:33" x14ac:dyDescent="0.3">
      <c r="A7" s="184" t="s">
        <v>100</v>
      </c>
      <c r="B7" s="277">
        <v>1670</v>
      </c>
      <c r="C7" s="278">
        <v>1664</v>
      </c>
      <c r="D7" s="262">
        <f>Janvier!F7+Fevrier!D7+Mars!D7+Avril!D7+Mai!D7+Juin!D7+Juillet!D7+Aout!D7+Sept!D7+Oct!D7+Nov!D7+Dec!D7</f>
        <v>1400</v>
      </c>
      <c r="E7" s="288">
        <f>+Janvier!H7+Fevrier!F7+Mars!F7+Avril!F7+Mai!F7+Juin!F7+Juillet!F7+Aout!F7+Sept!F7+Oct!F7+Nov!F7+Dec!F7</f>
        <v>0</v>
      </c>
      <c r="F7" s="262">
        <f>Janvier!I7+Fevrier!G7+Mars!G7+Avril!G7+Mai!G7+Juin!G7+Juillet!G7+Aout!G7+Sept!G7+Oct!G7+Nov!G7+Dec!G7</f>
        <v>2660</v>
      </c>
      <c r="G7" s="288">
        <f>+Janvier!K7+Fevrier!I7+Mars!I7+Avril!I7+Mai!I7+Juin!I7+Juillet!I7+Aout!I7+Sept!I7+Oct!I7+Nov!I7+Dec!I7</f>
        <v>0</v>
      </c>
      <c r="H7" s="262">
        <f>Janvier!L7+Fevrier!J7+Mars!J7+Avril!J7+Mai!J7+Juin!J7+Juillet!J7+Aout!J7+Sept!J7+Oct!J7+Nov!J7+Dec!J7</f>
        <v>2450</v>
      </c>
      <c r="I7" s="288">
        <f>Janvier!N7+Fevrier!L7+Mars!L7+Avril!L7+Mai!L7+Juin!L7+Juillet!L7+Aout!L7+Sept!L7+Oct!L7+Nov!L7+Dec!L7</f>
        <v>0</v>
      </c>
      <c r="J7" s="262">
        <f>Janvier!O7+Fevrier!M7+Mars!M7+Avril!M7+Mai!M7+Juin!M7+Juillet!M7+Aout!M7+Sept!M7+Oct!M7+Nov!M7+Dec!M7</f>
        <v>2206</v>
      </c>
      <c r="K7" s="288">
        <f>Janvier!Q7+Fevrier!O7+Mars!O7+Avril!O7+Mai!O7+Juin!O7+Juillet!O7+Aout!O7+Sept!O7+Oct!O7+Nov!O7+Dec!O7</f>
        <v>0</v>
      </c>
      <c r="L7" s="262">
        <f>Janvier!R7+Fevrier!P7+Mars!P7+Avril!P7+Mai!P7+Juin!P7+Juillet!P7+Aout!P7+Sept!P7+Oct!P7+Nov!P7+Dec!P7</f>
        <v>1430</v>
      </c>
      <c r="M7" s="288">
        <f>Janvier!T7+Fevrier!R7+Mars!R7+Avril!R7+Mai!R7+Juin!R7+Juillet!R7+Aout!R7+Sept!R7+Oct!R7+Nov!R7+Dec!R7</f>
        <v>0</v>
      </c>
      <c r="N7" s="262">
        <f>Janvier!U7+Fevrier!S7+Mars!S7+Avril!S7+Mai!S7+Juin!S7+Juillet!S7+Aout!S7+Sept!S7+Oct!S7+Nov!S7+Dec!S7</f>
        <v>860</v>
      </c>
      <c r="O7" s="288">
        <f>Janvier!W7+Fevrier!U7+Mars!U7+Avril!U7+Mai!U7+Juin!U7+Juillet!U7+Aout!U7+Sept!U7+Oct!U7+Nov!U7+Dec!U7</f>
        <v>0</v>
      </c>
      <c r="P7" s="262">
        <f>Janvier!X7+Fevrier!V7+Mars!V7+Avril!V7+Mai!V7+Juin!V7+Juillet!V7+Aout!V7+Sept!V7+Oct!V7+Nov!V7+Dec!V7</f>
        <v>1630</v>
      </c>
      <c r="Q7" s="288">
        <f>Janvier!Z7+Fevrier!X7+Mars!X7+Avril!X7+Mai!X7+Juin!X7+Juillet!X7+Aout!X7+Sept!X7+Oct!X7+Nov!X7+Dec!X7</f>
        <v>0</v>
      </c>
      <c r="R7" s="262">
        <f>Janvier!AA7+Fevrier!Y7+Mars!Y7+Avril!Y7+Mai!Y7+Juin!Y7+Juillet!Y7+Aout!Y7+Sept!Y7+Oct!Y7+Nov!Y7+Dec!Y7</f>
        <v>860</v>
      </c>
      <c r="S7" s="288">
        <f>Janvier!AC7+Fevrier!AA7+Mars!AA7+Avril!AA7+Mai!AA7+Juin!AA7+Juillet!AA7+Aout!AA7+Sept!AA7+Oct!AA7+Nov!AA7+Dec!AA7</f>
        <v>0</v>
      </c>
      <c r="T7" s="262">
        <f>Janvier!AD7+Fevrier!AB7+Mars!AB7+Avril!AB7+Mai!AB7+Juin!AB7+Juillet!AB7+Aout!AB7+Sept!AB7+Oct!AB7+Nov!AB7+Dec!AB7</f>
        <v>1020</v>
      </c>
      <c r="U7" s="288">
        <f>Janvier!AF7+Fevrier!AD7+Mars!AD7+Avril!AD7+Mai!AD7+Juin!AD7+Juillet!AD7+Aout!AD7+Sept!AD7+Oct!AD7+Nov!AD7+Dec!AD7</f>
        <v>0</v>
      </c>
      <c r="V7" s="262">
        <f>Janvier!AG7+Fevrier!AE7+Mars!AE7+Avril!AE7+Mai!AE7+Juin!AE7+Juillet!AE7+Aout!AE7+Sept!AE7+Oct!AE7+Nov!AE7+Dec!AE7</f>
        <v>1660</v>
      </c>
      <c r="W7" s="288">
        <f>Janvier!AI7+Fevrier!AG7+Mars!AG7+Avril!AG7+Mai!AG7+Juin!AG7+Juillet!AG7+Aout!AG7+Sept!AG7+Oct!AG7+Nov!AG7+Dec!AG7</f>
        <v>0</v>
      </c>
      <c r="X7" s="309">
        <f t="shared" ref="X7:X70" si="0">D7/(B7*0.9*1.42)</f>
        <v>0.65596506517481479</v>
      </c>
      <c r="Y7" s="309">
        <f t="shared" ref="Y7:Y70" si="1">F7/(C7*0.9*4*1.11)</f>
        <v>0.40003946253946249</v>
      </c>
      <c r="Z7" s="309">
        <f t="shared" ref="Z7:Z70" si="2">H7/(C7*0.9*3*1.11)</f>
        <v>0.49127653294319956</v>
      </c>
      <c r="AA7" s="309">
        <f t="shared" ref="AA7:AA70" si="3">H7/(J7*0.9*3*1.11)</f>
        <v>0.37057305114119854</v>
      </c>
      <c r="AB7" s="309">
        <f t="shared" ref="AB7:AB70" si="4">L7/(C7*0.9*3*1.11)</f>
        <v>0.28674507841174501</v>
      </c>
      <c r="AC7" s="309">
        <f t="shared" ref="AC7:AC70" si="5">N7/(C7*0.9*1.11)</f>
        <v>0.51734426734426731</v>
      </c>
      <c r="AD7" s="309">
        <f t="shared" ref="AD7:AD70" si="6">P7/(C7*0.9*2*1.25)</f>
        <v>0.43536324786324782</v>
      </c>
      <c r="AE7" s="309">
        <f t="shared" ref="AE7:AE70" si="7">R7/(C7*0.9*1.25)</f>
        <v>0.45940170940170932</v>
      </c>
      <c r="AF7" s="309">
        <f t="shared" ref="AF7:AF70" si="8">T7/(C7*0.9*1.25)</f>
        <v>0.54487179487179482</v>
      </c>
      <c r="AG7" s="310">
        <f t="shared" ref="AG7:AG70" si="9">V7/(C7*0.9*1.25)</f>
        <v>0.8867521367521366</v>
      </c>
    </row>
    <row r="8" spans="1:33" x14ac:dyDescent="0.3">
      <c r="A8" s="184" t="s">
        <v>101</v>
      </c>
      <c r="B8" s="212">
        <v>5490</v>
      </c>
      <c r="C8" s="273">
        <v>5470</v>
      </c>
      <c r="D8" s="107">
        <f>Janvier!F8+Fevrier!D8+Mars!D8+Avril!D8+Mai!D8+Juin!D8+Juillet!D8+Aout!D8+Sept!D8+Oct!D8+Nov!D8+Dec!D8</f>
        <v>6360</v>
      </c>
      <c r="E8" s="97">
        <f>+Janvier!H8+Fevrier!F8+Mars!F8+Avril!F8+Mai!F8+Juin!F8+Juillet!F8+Aout!F8+Sept!F8+Oct!F8+Nov!F8+Dec!F8</f>
        <v>7</v>
      </c>
      <c r="F8" s="107">
        <f>Janvier!I8+Fevrier!G8+Mars!G8+Avril!G8+Mai!G8+Juin!G8+Juillet!G8+Aout!G8+Sept!G8+Oct!G8+Nov!G8+Dec!G8</f>
        <v>11500</v>
      </c>
      <c r="G8" s="97">
        <f>+Janvier!K8+Fevrier!I8+Mars!I8+Avril!I8+Mai!I8+Juin!I8+Juillet!I8+Aout!I8+Sept!I8+Oct!I8+Nov!I8+Dec!I8</f>
        <v>0</v>
      </c>
      <c r="H8" s="107">
        <f>Janvier!L8+Fevrier!J8+Mars!J8+Avril!J8+Mai!J8+Juin!J8+Juillet!J8+Aout!J8+Sept!J8+Oct!J8+Nov!J8+Dec!J8</f>
        <v>10140</v>
      </c>
      <c r="I8" s="97">
        <f>Janvier!N8+Fevrier!L8+Mars!L8+Avril!L8+Mai!L8+Juin!L8+Juillet!L8+Aout!L8+Sept!L8+Oct!L8+Nov!L8+Dec!L8</f>
        <v>0</v>
      </c>
      <c r="J8" s="107">
        <f>Janvier!O8+Fevrier!M8+Mars!M8+Avril!M8+Mai!M8+Juin!M8+Juillet!M8+Aout!M8+Sept!M8+Oct!M8+Nov!M8+Dec!M8</f>
        <v>10212</v>
      </c>
      <c r="K8" s="97">
        <f>Janvier!Q8+Fevrier!O8+Mars!O8+Avril!O8+Mai!O8+Juin!O8+Juillet!O8+Aout!O8+Sept!O8+Oct!O8+Nov!O8+Dec!O8</f>
        <v>0</v>
      </c>
      <c r="L8" s="107">
        <f>Janvier!R8+Fevrier!P8+Mars!P8+Avril!P8+Mai!P8+Juin!P8+Juillet!P8+Aout!P8+Sept!P8+Oct!P8+Nov!P8+Dec!P8</f>
        <v>6350</v>
      </c>
      <c r="M8" s="97">
        <f>Janvier!T8+Fevrier!R8+Mars!R8+Avril!R8+Mai!R8+Juin!R8+Juillet!R8+Aout!R8+Sept!R8+Oct!R8+Nov!R8+Dec!R8</f>
        <v>2</v>
      </c>
      <c r="N8" s="107">
        <f>Janvier!U8+Fevrier!S8+Mars!S8+Avril!S8+Mai!S8+Juin!S8+Juillet!S8+Aout!S8+Sept!S8+Oct!S8+Nov!S8+Dec!S8</f>
        <v>2425</v>
      </c>
      <c r="O8" s="97">
        <f>Janvier!W8+Fevrier!U8+Mars!U8+Avril!U8+Mai!U8+Juin!U8+Juillet!U8+Aout!U8+Sept!U8+Oct!U8+Nov!U8+Dec!U8</f>
        <v>0</v>
      </c>
      <c r="P8" s="107">
        <f>Janvier!X8+Fevrier!V8+Mars!V8+Avril!V8+Mai!V8+Juin!V8+Juillet!V8+Aout!V8+Sept!V8+Oct!V8+Nov!V8+Dec!V8</f>
        <v>6400</v>
      </c>
      <c r="Q8" s="97">
        <f>Janvier!Z8+Fevrier!X8+Mars!X8+Avril!X8+Mai!X8+Juin!X8+Juillet!X8+Aout!X8+Sept!X8+Oct!X8+Nov!X8+Dec!X8</f>
        <v>0</v>
      </c>
      <c r="R8" s="107">
        <f>Janvier!AA8+Fevrier!Y8+Mars!Y8+Avril!Y8+Mai!Y8+Juin!Y8+Juillet!Y8+Aout!Y8+Sept!Y8+Oct!Y8+Nov!Y8+Dec!Y8</f>
        <v>3530</v>
      </c>
      <c r="S8" s="97">
        <f>Janvier!AC8+Fevrier!AA8+Mars!AA8+Avril!AA8+Mai!AA8+Juin!AA8+Juillet!AA8+Aout!AA8+Sept!AA8+Oct!AA8+Nov!AA8+Dec!AA8</f>
        <v>0</v>
      </c>
      <c r="T8" s="107">
        <f>Janvier!AD8+Fevrier!AB8+Mars!AB8+Avril!AB8+Mai!AB8+Juin!AB8+Juillet!AB8+Aout!AB8+Sept!AB8+Oct!AB8+Nov!AB8+Dec!AB8</f>
        <v>3540</v>
      </c>
      <c r="U8" s="97">
        <f>Janvier!AF8+Fevrier!AD8+Mars!AD8+Avril!AD8+Mai!AD8+Juin!AD8+Juillet!AD8+Aout!AD8+Sept!AD8+Oct!AD8+Nov!AD8+Dec!AD8</f>
        <v>0</v>
      </c>
      <c r="V8" s="107">
        <f>Janvier!AG8+Fevrier!AE8+Mars!AE8+Avril!AE8+Mai!AE8+Juin!AE8+Juillet!AE8+Aout!AE8+Sept!AE8+Oct!AE8+Nov!AE8+Dec!AE8</f>
        <v>5790</v>
      </c>
      <c r="W8" s="97">
        <f>Janvier!AI8+Fevrier!AG8+Mars!AG8+Avril!AG8+Mai!AG8+Juin!AG8+Juillet!AG8+Aout!AG8+Sept!AG8+Oct!AG8+Nov!AG8+Dec!AG8</f>
        <v>0</v>
      </c>
      <c r="X8" s="309">
        <f t="shared" si="0"/>
        <v>0.90647100575523576</v>
      </c>
      <c r="Y8" s="309">
        <f t="shared" si="1"/>
        <v>0.52612027017877105</v>
      </c>
      <c r="Z8" s="309">
        <f t="shared" si="2"/>
        <v>0.61853443937538999</v>
      </c>
      <c r="AA8" s="309">
        <f t="shared" si="3"/>
        <v>0.33131447154165522</v>
      </c>
      <c r="AB8" s="309">
        <f t="shared" si="4"/>
        <v>0.38734651775480539</v>
      </c>
      <c r="AC8" s="309">
        <f t="shared" si="5"/>
        <v>0.44377101049861556</v>
      </c>
      <c r="AD8" s="309">
        <f t="shared" si="6"/>
        <v>0.52000812512695516</v>
      </c>
      <c r="AE8" s="309">
        <f t="shared" si="7"/>
        <v>0.57363396303067238</v>
      </c>
      <c r="AF8" s="309">
        <f t="shared" si="8"/>
        <v>0.5752589884216941</v>
      </c>
      <c r="AG8" s="310">
        <f t="shared" si="9"/>
        <v>0.94088970140158446</v>
      </c>
    </row>
    <row r="9" spans="1:33" x14ac:dyDescent="0.3">
      <c r="A9" s="184" t="s">
        <v>102</v>
      </c>
      <c r="B9" s="212">
        <v>4967</v>
      </c>
      <c r="C9" s="273">
        <v>4949</v>
      </c>
      <c r="D9" s="107">
        <f>Janvier!F9+Fevrier!D9+Mars!D9+Avril!D9+Mai!D9+Juin!D9+Juillet!D9+Aout!D9+Sept!D9+Oct!D9+Nov!D9+Dec!D9</f>
        <v>4140</v>
      </c>
      <c r="E9" s="97">
        <f>+Janvier!H9+Fevrier!F9+Mars!F9+Avril!F9+Mai!F9+Juin!F9+Juillet!F9+Aout!F9+Sept!F9+Oct!F9+Nov!F9+Dec!F9</f>
        <v>0</v>
      </c>
      <c r="F9" s="107">
        <f>Janvier!I9+Fevrier!G9+Mars!G9+Avril!G9+Mai!G9+Juin!G9+Juillet!G9+Aout!G9+Sept!G9+Oct!G9+Nov!G9+Dec!G9</f>
        <v>10520</v>
      </c>
      <c r="G9" s="97">
        <f>+Janvier!K9+Fevrier!I9+Mars!I9+Avril!I9+Mai!I9+Juin!I9+Juillet!I9+Aout!I9+Sept!I9+Oct!I9+Nov!I9+Dec!I9</f>
        <v>12</v>
      </c>
      <c r="H9" s="107">
        <f>Janvier!L9+Fevrier!J9+Mars!J9+Avril!J9+Mai!J9+Juin!J9+Juillet!J9+Aout!J9+Sept!J9+Oct!J9+Nov!J9+Dec!J9</f>
        <v>7920</v>
      </c>
      <c r="I9" s="97">
        <f>Janvier!N9+Fevrier!L9+Mars!L9+Avril!L9+Mai!L9+Juin!L9+Juillet!L9+Aout!L9+Sept!L9+Oct!L9+Nov!L9+Dec!L9</f>
        <v>0</v>
      </c>
      <c r="J9" s="107">
        <f>Janvier!O9+Fevrier!M9+Mars!M9+Avril!M9+Mai!M9+Juin!M9+Juillet!M9+Aout!M9+Sept!M9+Oct!M9+Nov!M9+Dec!M9</f>
        <v>7712</v>
      </c>
      <c r="K9" s="97">
        <f>Janvier!Q9+Fevrier!O9+Mars!O9+Avril!O9+Mai!O9+Juin!O9+Juillet!O9+Aout!O9+Sept!O9+Oct!O9+Nov!O9+Dec!O9</f>
        <v>0</v>
      </c>
      <c r="L9" s="107">
        <f>Janvier!R9+Fevrier!P9+Mars!P9+Avril!P9+Mai!P9+Juin!P9+Juillet!P9+Aout!P9+Sept!P9+Oct!P9+Nov!P9+Dec!P9</f>
        <v>4793</v>
      </c>
      <c r="M9" s="97">
        <f>Janvier!T9+Fevrier!R9+Mars!R9+Avril!R9+Mai!R9+Juin!R9+Juillet!R9+Aout!R9+Sept!R9+Oct!R9+Nov!R9+Dec!R9</f>
        <v>12</v>
      </c>
      <c r="N9" s="107">
        <f>Janvier!U9+Fevrier!S9+Mars!S9+Avril!S9+Mai!S9+Juin!S9+Juillet!S9+Aout!S9+Sept!S9+Oct!S9+Nov!S9+Dec!S9</f>
        <v>2140</v>
      </c>
      <c r="O9" s="97">
        <f>Janvier!W9+Fevrier!U9+Mars!U9+Avril!U9+Mai!U9+Juin!U9+Juillet!U9+Aout!U9+Sept!U9+Oct!U9+Nov!U9+Dec!U9</f>
        <v>13</v>
      </c>
      <c r="P9" s="107">
        <f>Janvier!X9+Fevrier!V9+Mars!V9+Avril!V9+Mai!V9+Juin!V9+Juillet!V9+Aout!V9+Sept!V9+Oct!V9+Nov!V9+Dec!V9</f>
        <v>2750</v>
      </c>
      <c r="Q9" s="97">
        <f>Janvier!Z9+Fevrier!X9+Mars!X9+Avril!X9+Mai!X9+Juin!X9+Juillet!X9+Aout!X9+Sept!X9+Oct!X9+Nov!X9+Dec!X9</f>
        <v>0</v>
      </c>
      <c r="R9" s="107">
        <f>Janvier!AA9+Fevrier!Y9+Mars!Y9+Avril!Y9+Mai!Y9+Juin!Y9+Juillet!Y9+Aout!Y9+Sept!Y9+Oct!Y9+Nov!Y9+Dec!Y9</f>
        <v>2320</v>
      </c>
      <c r="S9" s="97">
        <f>Janvier!AC9+Fevrier!AA9+Mars!AA9+Avril!AA9+Mai!AA9+Juin!AA9+Juillet!AA9+Aout!AA9+Sept!AA9+Oct!AA9+Nov!AA9+Dec!AA9</f>
        <v>0</v>
      </c>
      <c r="T9" s="107">
        <f>Janvier!AD9+Fevrier!AB9+Mars!AB9+Avril!AB9+Mai!AB9+Juin!AB9+Juillet!AB9+Aout!AB9+Sept!AB9+Oct!AB9+Nov!AB9+Dec!AB9</f>
        <v>2820</v>
      </c>
      <c r="U9" s="97">
        <f>Janvier!AF9+Fevrier!AD9+Mars!AD9+Avril!AD9+Mai!AD9+Juin!AD9+Juillet!AD9+Aout!AD9+Sept!AD9+Oct!AD9+Nov!AD9+Dec!AD9</f>
        <v>0</v>
      </c>
      <c r="V9" s="107">
        <f>Janvier!AG9+Fevrier!AE9+Mars!AE9+Avril!AE9+Mai!AE9+Juin!AE9+Juillet!AE9+Aout!AE9+Sept!AE9+Oct!AE9+Nov!AE9+Dec!AE9</f>
        <v>3060</v>
      </c>
      <c r="W9" s="97">
        <f>Janvier!AI9+Fevrier!AG9+Mars!AG9+Avril!AG9+Mai!AG9+Juin!AG9+Juillet!AG9+Aout!AG9+Sept!AG9+Oct!AG9+Nov!AG9+Dec!AG9</f>
        <v>0</v>
      </c>
      <c r="X9" s="309">
        <f t="shared" si="0"/>
        <v>0.65219178975605197</v>
      </c>
      <c r="Y9" s="309">
        <f t="shared" si="1"/>
        <v>0.53195244142910336</v>
      </c>
      <c r="Z9" s="309">
        <f t="shared" si="2"/>
        <v>0.53397507428624824</v>
      </c>
      <c r="AA9" s="309">
        <f t="shared" si="3"/>
        <v>0.34266631777005213</v>
      </c>
      <c r="AB9" s="309">
        <f t="shared" si="4"/>
        <v>0.3231493094765136</v>
      </c>
      <c r="AC9" s="309">
        <f t="shared" si="5"/>
        <v>0.43284343142900422</v>
      </c>
      <c r="AD9" s="309">
        <f t="shared" si="6"/>
        <v>0.24696347185738982</v>
      </c>
      <c r="AE9" s="309">
        <f t="shared" si="7"/>
        <v>0.41669473069755958</v>
      </c>
      <c r="AF9" s="309">
        <f t="shared" si="8"/>
        <v>0.50649962955479222</v>
      </c>
      <c r="AG9" s="310">
        <f t="shared" si="9"/>
        <v>0.5496059810062639</v>
      </c>
    </row>
    <row r="10" spans="1:33" x14ac:dyDescent="0.3">
      <c r="A10" s="184" t="s">
        <v>34</v>
      </c>
      <c r="B10" s="212">
        <v>848</v>
      </c>
      <c r="C10" s="273">
        <v>845</v>
      </c>
      <c r="D10" s="107">
        <f>Janvier!F10+Fevrier!D10+Mars!D10+Avril!D10+Mai!D10+Juin!D10+Juillet!D10+Aout!D10+Sept!D10+Oct!D10+Nov!D10+Dec!D10</f>
        <v>1040</v>
      </c>
      <c r="E10" s="97">
        <f>+Janvier!H10+Fevrier!F10+Mars!F10+Avril!F10+Mai!F10+Juin!F10+Juillet!F10+Aout!F10+Sept!F10+Oct!F10+Nov!F10+Dec!F10</f>
        <v>20</v>
      </c>
      <c r="F10" s="107">
        <f>Janvier!I10+Fevrier!G10+Mars!G10+Avril!G10+Mai!G10+Juin!G10+Juillet!G10+Aout!G10+Sept!G10+Oct!G10+Nov!G10+Dec!G10</f>
        <v>2720</v>
      </c>
      <c r="G10" s="97">
        <f>+Janvier!K10+Fevrier!I10+Mars!I10+Avril!I10+Mai!I10+Juin!I10+Juillet!I10+Aout!I10+Sept!I10+Oct!I10+Nov!I10+Dec!I10</f>
        <v>0</v>
      </c>
      <c r="H10" s="107">
        <f>Janvier!L10+Fevrier!J10+Mars!J10+Avril!J10+Mai!J10+Juin!J10+Juillet!J10+Aout!J10+Sept!J10+Oct!J10+Nov!J10+Dec!J10</f>
        <v>1930</v>
      </c>
      <c r="I10" s="97">
        <f>Janvier!N10+Fevrier!L10+Mars!L10+Avril!L10+Mai!L10+Juin!L10+Juillet!L10+Aout!L10+Sept!L10+Oct!L10+Nov!L10+Dec!L10</f>
        <v>0</v>
      </c>
      <c r="J10" s="107">
        <f>Janvier!O10+Fevrier!M10+Mars!M10+Avril!M10+Mai!M10+Juin!M10+Juillet!M10+Aout!M10+Sept!M10+Oct!M10+Nov!M10+Dec!M10</f>
        <v>1880</v>
      </c>
      <c r="K10" s="97">
        <f>Janvier!Q10+Fevrier!O10+Mars!O10+Avril!O10+Mai!O10+Juin!O10+Juillet!O10+Aout!O10+Sept!O10+Oct!O10+Nov!O10+Dec!O10</f>
        <v>0</v>
      </c>
      <c r="L10" s="107">
        <f>Janvier!R10+Fevrier!P10+Mars!P10+Avril!P10+Mai!P10+Juin!P10+Juillet!P10+Aout!P10+Sept!P10+Oct!P10+Nov!P10+Dec!P10</f>
        <v>1325</v>
      </c>
      <c r="M10" s="97">
        <f>Janvier!T10+Fevrier!R10+Mars!R10+Avril!R10+Mai!R10+Juin!R10+Juillet!R10+Aout!R10+Sept!R10+Oct!R10+Nov!R10+Dec!R10</f>
        <v>0</v>
      </c>
      <c r="N10" s="107">
        <f>Janvier!U10+Fevrier!S10+Mars!S10+Avril!S10+Mai!S10+Juin!S10+Juillet!S10+Aout!S10+Sept!S10+Oct!S10+Nov!S10+Dec!S10</f>
        <v>330</v>
      </c>
      <c r="O10" s="97">
        <f>Janvier!W10+Fevrier!U10+Mars!U10+Avril!U10+Mai!U10+Juin!U10+Juillet!U10+Aout!U10+Sept!U10+Oct!U10+Nov!U10+Dec!U10</f>
        <v>0</v>
      </c>
      <c r="P10" s="107">
        <f>Janvier!X10+Fevrier!V10+Mars!V10+Avril!V10+Mai!V10+Juin!V10+Juillet!V10+Aout!V10+Sept!V10+Oct!V10+Nov!V10+Dec!V10</f>
        <v>2400</v>
      </c>
      <c r="Q10" s="97">
        <f>Janvier!Z10+Fevrier!X10+Mars!X10+Avril!X10+Mai!X10+Juin!X10+Juillet!X10+Aout!X10+Sept!X10+Oct!X10+Nov!X10+Dec!X10</f>
        <v>0</v>
      </c>
      <c r="R10" s="107">
        <f>Janvier!AA10+Fevrier!Y10+Mars!Y10+Avril!Y10+Mai!Y10+Juin!Y10+Juillet!Y10+Aout!Y10+Sept!Y10+Oct!Y10+Nov!Y10+Dec!Y10</f>
        <v>670</v>
      </c>
      <c r="S10" s="97">
        <f>Janvier!AC10+Fevrier!AA10+Mars!AA10+Avril!AA10+Mai!AA10+Juin!AA10+Juillet!AA10+Aout!AA10+Sept!AA10+Oct!AA10+Nov!AA10+Dec!AA10</f>
        <v>0</v>
      </c>
      <c r="T10" s="107">
        <f>Janvier!AD10+Fevrier!AB10+Mars!AB10+Avril!AB10+Mai!AB10+Juin!AB10+Juillet!AB10+Aout!AB10+Sept!AB10+Oct!AB10+Nov!AB10+Dec!AB10</f>
        <v>750</v>
      </c>
      <c r="U10" s="97">
        <f>Janvier!AF10+Fevrier!AD10+Mars!AD10+Avril!AD10+Mai!AD10+Juin!AD10+Juillet!AD10+Aout!AD10+Sept!AD10+Oct!AD10+Nov!AD10+Dec!AD10</f>
        <v>0</v>
      </c>
      <c r="V10" s="107">
        <f>Janvier!AG10+Fevrier!AE10+Mars!AE10+Avril!AE10+Mai!AE10+Juin!AE10+Juillet!AE10+Aout!AE10+Sept!AE10+Oct!AE10+Nov!AE10+Dec!AE10</f>
        <v>1030</v>
      </c>
      <c r="W10" s="97">
        <f>Janvier!AI10+Fevrier!AG10+Mars!AG10+Avril!AG10+Mai!AG10+Juin!AG10+Juillet!AG10+Aout!AG10+Sept!AG10+Oct!AG10+Nov!AG10+Dec!AG10</f>
        <v>0</v>
      </c>
      <c r="X10" s="309">
        <f t="shared" si="0"/>
        <v>0.95963622405291293</v>
      </c>
      <c r="Y10" s="309">
        <f t="shared" si="1"/>
        <v>0.80553926707772849</v>
      </c>
      <c r="Z10" s="309">
        <f t="shared" si="2"/>
        <v>0.76210332620589027</v>
      </c>
      <c r="AA10" s="309">
        <f t="shared" si="3"/>
        <v>0.3425411226829666</v>
      </c>
      <c r="AB10" s="309">
        <f t="shared" si="4"/>
        <v>0.52320565141077957</v>
      </c>
      <c r="AC10" s="309">
        <f t="shared" si="5"/>
        <v>0.39092346784654475</v>
      </c>
      <c r="AD10" s="309">
        <f t="shared" si="6"/>
        <v>1.26232741617357</v>
      </c>
      <c r="AE10" s="309">
        <f t="shared" si="7"/>
        <v>0.70479947403024323</v>
      </c>
      <c r="AF10" s="309">
        <f t="shared" si="8"/>
        <v>0.78895463510848129</v>
      </c>
      <c r="AG10" s="310">
        <f t="shared" si="9"/>
        <v>1.0834976988823142</v>
      </c>
    </row>
    <row r="11" spans="1:33" x14ac:dyDescent="0.3">
      <c r="A11" s="184" t="s">
        <v>103</v>
      </c>
      <c r="B11" s="212">
        <v>1549</v>
      </c>
      <c r="C11" s="273">
        <v>1543</v>
      </c>
      <c r="D11" s="107">
        <f>Janvier!F11+Fevrier!D11+Mars!D11+Avril!D11+Mai!D11+Juin!D11+Juillet!D11+Aout!D11+Sept!D11+Oct!D11+Nov!D11+Dec!D11</f>
        <v>1340</v>
      </c>
      <c r="E11" s="97">
        <f>+Janvier!H11+Fevrier!F11+Mars!F11+Avril!F11+Mai!F11+Juin!F11+Juillet!F11+Aout!F11+Sept!F11+Oct!F11+Nov!F11+Dec!F11</f>
        <v>0</v>
      </c>
      <c r="F11" s="107">
        <f>Janvier!I11+Fevrier!G11+Mars!G11+Avril!G11+Mai!G11+Juin!G11+Juillet!G11+Aout!G11+Sept!G11+Oct!G11+Nov!G11+Dec!G11</f>
        <v>2480</v>
      </c>
      <c r="G11" s="97">
        <f>+Janvier!K11+Fevrier!I11+Mars!I11+Avril!I11+Mai!I11+Juin!I11+Juillet!I11+Aout!I11+Sept!I11+Oct!I11+Nov!I11+Dec!I11</f>
        <v>0</v>
      </c>
      <c r="H11" s="107">
        <f>Janvier!L11+Fevrier!J11+Mars!J11+Avril!J11+Mai!J11+Juin!J11+Juillet!J11+Aout!J11+Sept!J11+Oct!J11+Nov!J11+Dec!J11</f>
        <v>1970</v>
      </c>
      <c r="I11" s="97">
        <f>Janvier!N11+Fevrier!L11+Mars!L11+Avril!L11+Mai!L11+Juin!L11+Juillet!L11+Aout!L11+Sept!L11+Oct!L11+Nov!L11+Dec!L11</f>
        <v>0</v>
      </c>
      <c r="J11" s="107">
        <f>Janvier!O11+Fevrier!M11+Mars!M11+Avril!M11+Mai!M11+Juin!M11+Juillet!M11+Aout!M11+Sept!M11+Oct!M11+Nov!M11+Dec!M11</f>
        <v>1784</v>
      </c>
      <c r="K11" s="97">
        <f>Janvier!Q11+Fevrier!O11+Mars!O11+Avril!O11+Mai!O11+Juin!O11+Juillet!O11+Aout!O11+Sept!O11+Oct!O11+Nov!O11+Dec!O11</f>
        <v>0</v>
      </c>
      <c r="L11" s="107">
        <f>Janvier!R11+Fevrier!P11+Mars!P11+Avril!P11+Mai!P11+Juin!P11+Juillet!P11+Aout!P11+Sept!P11+Oct!P11+Nov!P11+Dec!P11</f>
        <v>1514</v>
      </c>
      <c r="M11" s="97">
        <f>Janvier!T11+Fevrier!R11+Mars!R11+Avril!R11+Mai!R11+Juin!R11+Juillet!R11+Aout!R11+Sept!R11+Oct!R11+Nov!R11+Dec!R11</f>
        <v>0</v>
      </c>
      <c r="N11" s="107">
        <f>Janvier!U11+Fevrier!S11+Mars!S11+Avril!S11+Mai!S11+Juin!S11+Juillet!S11+Aout!S11+Sept!S11+Oct!S11+Nov!S11+Dec!S11</f>
        <v>770</v>
      </c>
      <c r="O11" s="97">
        <f>Janvier!W11+Fevrier!U11+Mars!U11+Avril!U11+Mai!U11+Juin!U11+Juillet!U11+Aout!U11+Sept!U11+Oct!U11+Nov!U11+Dec!U11</f>
        <v>4</v>
      </c>
      <c r="P11" s="107">
        <f>Janvier!X11+Fevrier!V11+Mars!V11+Avril!V11+Mai!V11+Juin!V11+Juillet!V11+Aout!V11+Sept!V11+Oct!V11+Nov!V11+Dec!V11</f>
        <v>1150</v>
      </c>
      <c r="Q11" s="97">
        <f>Janvier!Z11+Fevrier!X11+Mars!X11+Avril!X11+Mai!X11+Juin!X11+Juillet!X11+Aout!X11+Sept!X11+Oct!X11+Nov!X11+Dec!X11</f>
        <v>0</v>
      </c>
      <c r="R11" s="107">
        <f>Janvier!AA11+Fevrier!Y11+Mars!Y11+Avril!Y11+Mai!Y11+Juin!Y11+Juillet!Y11+Aout!Y11+Sept!Y11+Oct!Y11+Nov!Y11+Dec!Y11</f>
        <v>890</v>
      </c>
      <c r="S11" s="97">
        <f>Janvier!AC11+Fevrier!AA11+Mars!AA11+Avril!AA11+Mai!AA11+Juin!AA11+Juillet!AA11+Aout!AA11+Sept!AA11+Oct!AA11+Nov!AA11+Dec!AA11</f>
        <v>0</v>
      </c>
      <c r="T11" s="107">
        <f>Janvier!AD11+Fevrier!AB11+Mars!AB11+Avril!AB11+Mai!AB11+Juin!AB11+Juillet!AB11+Aout!AB11+Sept!AB11+Oct!AB11+Nov!AB11+Dec!AB11</f>
        <v>850</v>
      </c>
      <c r="U11" s="97">
        <f>Janvier!AF11+Fevrier!AD11+Mars!AD11+Avril!AD11+Mai!AD11+Juin!AD11+Juillet!AD11+Aout!AD11+Sept!AD11+Oct!AD11+Nov!AD11+Dec!AD11</f>
        <v>0</v>
      </c>
      <c r="V11" s="107">
        <f>Janvier!AG11+Fevrier!AE11+Mars!AE11+Avril!AE11+Mai!AE11+Juin!AE11+Juillet!AE11+Aout!AE11+Sept!AE11+Oct!AE11+Nov!AE11+Dec!AE11</f>
        <v>1910</v>
      </c>
      <c r="W11" s="97">
        <f>Janvier!AI11+Fevrier!AG11+Mars!AG11+Avril!AG11+Mai!AG11+Juin!AG11+Juillet!AG11+Aout!AG11+Sept!AG11+Oct!AG11+Nov!AG11+Dec!AG11</f>
        <v>0</v>
      </c>
      <c r="X11" s="309">
        <f t="shared" si="0"/>
        <v>0.67689690253997981</v>
      </c>
      <c r="Y11" s="309">
        <f t="shared" si="1"/>
        <v>0.40221686365561932</v>
      </c>
      <c r="Z11" s="309">
        <f t="shared" si="2"/>
        <v>0.42600388247396231</v>
      </c>
      <c r="AA11" s="309">
        <f t="shared" si="3"/>
        <v>0.36845515171374654</v>
      </c>
      <c r="AB11" s="309">
        <f t="shared" si="4"/>
        <v>0.32739587719064922</v>
      </c>
      <c r="AC11" s="309">
        <f t="shared" si="5"/>
        <v>0.49952739518520461</v>
      </c>
      <c r="AD11" s="309">
        <f t="shared" si="6"/>
        <v>0.33124504932670845</v>
      </c>
      <c r="AE11" s="309">
        <f t="shared" si="7"/>
        <v>0.51270972852307917</v>
      </c>
      <c r="AF11" s="309">
        <f t="shared" si="8"/>
        <v>0.48966659465687334</v>
      </c>
      <c r="AG11" s="310">
        <f t="shared" si="9"/>
        <v>1.1003096421113272</v>
      </c>
    </row>
    <row r="12" spans="1:33" x14ac:dyDescent="0.3">
      <c r="A12" s="184" t="s">
        <v>104</v>
      </c>
      <c r="B12" s="212">
        <v>2455</v>
      </c>
      <c r="C12" s="273">
        <v>2446</v>
      </c>
      <c r="D12" s="107">
        <f>Janvier!F12+Fevrier!D12+Mars!D12+Avril!D12+Mai!D12+Juin!D12+Juillet!D12+Aout!D12+Sept!D12+Oct!D12+Nov!D12+Dec!D12</f>
        <v>3080</v>
      </c>
      <c r="E12" s="117">
        <f>+Janvier!H12+Fevrier!F12+Mars!F12+Avril!F12+Mai!F12+Juin!F12+Juillet!F12+Aout!F12+Sept!F12+Oct!F12+Nov!F12+Dec!F12</f>
        <v>0</v>
      </c>
      <c r="F12" s="107">
        <f>Janvier!I12+Fevrier!G12+Mars!G12+Avril!G12+Mai!G12+Juin!G12+Juillet!G12+Aout!G12+Sept!G12+Oct!G12+Nov!G12+Dec!G12</f>
        <v>5040</v>
      </c>
      <c r="G12" s="117">
        <f>+Janvier!K12+Fevrier!I12+Mars!I12+Avril!I12+Mai!I12+Juin!I12+Juillet!I12+Aout!I12+Sept!I12+Oct!I12+Nov!I12+Dec!I12</f>
        <v>0</v>
      </c>
      <c r="H12" s="107">
        <f>Janvier!L12+Fevrier!J12+Mars!J12+Avril!J12+Mai!J12+Juin!J12+Juillet!J12+Aout!J12+Sept!J12+Oct!J12+Nov!J12+Dec!J12</f>
        <v>4210</v>
      </c>
      <c r="I12" s="117">
        <f>Janvier!N12+Fevrier!L12+Mars!L12+Avril!L12+Mai!L12+Juin!L12+Juillet!L12+Aout!L12+Sept!L12+Oct!L12+Nov!L12+Dec!L12</f>
        <v>0</v>
      </c>
      <c r="J12" s="107">
        <f>Janvier!O12+Fevrier!M12+Mars!M12+Avril!M12+Mai!M12+Juin!M12+Juillet!M12+Aout!M12+Sept!M12+Oct!M12+Nov!M12+Dec!M12</f>
        <v>4050</v>
      </c>
      <c r="K12" s="117">
        <f>Janvier!Q12+Fevrier!O12+Mars!O12+Avril!O12+Mai!O12+Juin!O12+Juillet!O12+Aout!O12+Sept!O12+Oct!O12+Nov!O12+Dec!O12</f>
        <v>0</v>
      </c>
      <c r="L12" s="107">
        <f>Janvier!R12+Fevrier!P12+Mars!P12+Avril!P12+Mai!P12+Juin!P12+Juillet!P12+Aout!P12+Sept!P12+Oct!P12+Nov!P12+Dec!P12</f>
        <v>2338</v>
      </c>
      <c r="M12" s="117">
        <f>Janvier!T12+Fevrier!R12+Mars!R12+Avril!R12+Mai!R12+Juin!R12+Juillet!R12+Aout!R12+Sept!R12+Oct!R12+Nov!R12+Dec!R12</f>
        <v>0</v>
      </c>
      <c r="N12" s="107">
        <f>Janvier!U12+Fevrier!S12+Mars!S12+Avril!S12+Mai!S12+Juin!S12+Juillet!S12+Aout!S12+Sept!S12+Oct!S12+Nov!S12+Dec!S12</f>
        <v>1305</v>
      </c>
      <c r="O12" s="117">
        <f>Janvier!W12+Fevrier!U12+Mars!U12+Avril!U12+Mai!U12+Juin!U12+Juillet!U12+Aout!U12+Sept!U12+Oct!U12+Nov!U12+Dec!U12</f>
        <v>0</v>
      </c>
      <c r="P12" s="107">
        <f>Janvier!X12+Fevrier!V12+Mars!V12+Avril!V12+Mai!V12+Juin!V12+Juillet!V12+Aout!V12+Sept!V12+Oct!V12+Nov!V12+Dec!V12</f>
        <v>2490</v>
      </c>
      <c r="Q12" s="117">
        <f>Janvier!Z12+Fevrier!X12+Mars!X12+Avril!X12+Mai!X12+Juin!X12+Juillet!X12+Aout!X12+Sept!X12+Oct!X12+Nov!X12+Dec!X12</f>
        <v>0</v>
      </c>
      <c r="R12" s="107">
        <f>Janvier!AA12+Fevrier!Y12+Mars!Y12+Avril!Y12+Mai!Y12+Juin!Y12+Juillet!Y12+Aout!Y12+Sept!Y12+Oct!Y12+Nov!Y12+Dec!Y12</f>
        <v>1690</v>
      </c>
      <c r="S12" s="117">
        <f>Janvier!AC12+Fevrier!AA12+Mars!AA12+Avril!AA12+Mai!AA12+Juin!AA12+Juillet!AA12+Aout!AA12+Sept!AA12+Oct!AA12+Nov!AA12+Dec!AA12</f>
        <v>0</v>
      </c>
      <c r="T12" s="107">
        <f>Janvier!AD12+Fevrier!AB12+Mars!AB12+Avril!AB12+Mai!AB12+Juin!AB12+Juillet!AB12+Aout!AB12+Sept!AB12+Oct!AB12+Nov!AB12+Dec!AB12</f>
        <v>1840</v>
      </c>
      <c r="U12" s="117">
        <f>Janvier!AF12+Fevrier!AD12+Mars!AD12+Avril!AD12+Mai!AD12+Juin!AD12+Juillet!AD12+Aout!AD12+Sept!AD12+Oct!AD12+Nov!AD12+Dec!AD12</f>
        <v>0</v>
      </c>
      <c r="V12" s="107">
        <f>Janvier!AG12+Fevrier!AE12+Mars!AE12+Avril!AE12+Mai!AE12+Juin!AE12+Juillet!AE12+Aout!AE12+Sept!AE12+Oct!AE12+Nov!AE12+Dec!AE12</f>
        <v>2960</v>
      </c>
      <c r="W12" s="117">
        <f>Janvier!AI12+Fevrier!AG12+Mars!AG12+Avril!AG12+Mai!AG12+Juin!AG12+Juillet!AG12+Aout!AG12+Sept!AG12+Oct!AG12+Nov!AG12+Dec!AG12</f>
        <v>0</v>
      </c>
      <c r="X12" s="309">
        <f t="shared" si="0"/>
        <v>0.9816764356221056</v>
      </c>
      <c r="Y12" s="309">
        <f t="shared" si="1"/>
        <v>0.51564237991057271</v>
      </c>
      <c r="Z12" s="309">
        <f t="shared" si="2"/>
        <v>0.5743001109586009</v>
      </c>
      <c r="AA12" s="309">
        <f t="shared" si="3"/>
        <v>0.34684890651968842</v>
      </c>
      <c r="AB12" s="309">
        <f t="shared" si="4"/>
        <v>0.31893436090765059</v>
      </c>
      <c r="AC12" s="309">
        <f t="shared" si="5"/>
        <v>0.53405817919309317</v>
      </c>
      <c r="AD12" s="309">
        <f t="shared" si="6"/>
        <v>0.45243935677296265</v>
      </c>
      <c r="AE12" s="309">
        <f t="shared" si="7"/>
        <v>0.61415462887253569</v>
      </c>
      <c r="AF12" s="309">
        <f t="shared" si="8"/>
        <v>0.66866539474879627</v>
      </c>
      <c r="AG12" s="310">
        <f t="shared" si="9"/>
        <v>1.0756791132915418</v>
      </c>
    </row>
    <row r="13" spans="1:33" ht="15" x14ac:dyDescent="0.3">
      <c r="A13" s="184" t="s">
        <v>105</v>
      </c>
      <c r="B13" s="282">
        <v>6084</v>
      </c>
      <c r="C13" s="283">
        <v>6062</v>
      </c>
      <c r="D13" s="249">
        <f>Janvier!F13+Fevrier!D13+Mars!D13+Avril!D13+Mai!D13+Juin!D13+Juillet!D13+Aout!D13+Sept!D13+Oct!D13+Nov!D13+Dec!D13</f>
        <v>6760</v>
      </c>
      <c r="E13" s="251">
        <f>+Janvier!H13+Fevrier!F13+Mars!F13+Avril!F13+Mai!F13+Juin!F13+Juillet!F13+Aout!F13+Sept!F13+Oct!F13+Nov!F13+Dec!F13</f>
        <v>1</v>
      </c>
      <c r="F13" s="249">
        <f>Janvier!I13+Fevrier!G13+Mars!G13+Avril!G13+Mai!G13+Juin!G13+Juillet!G13+Aout!G13+Sept!G13+Oct!G13+Nov!G13+Dec!G13</f>
        <v>9340</v>
      </c>
      <c r="G13" s="251">
        <f>+Janvier!K13+Fevrier!I13+Mars!I13+Avril!I13+Mai!I13+Juin!I13+Juillet!I13+Aout!I13+Sept!I13+Oct!I13+Nov!I13+Dec!I13</f>
        <v>0</v>
      </c>
      <c r="H13" s="249">
        <f>Janvier!L13+Fevrier!J13+Mars!J13+Avril!J13+Mai!J13+Juin!J13+Juillet!J13+Aout!J13+Sept!J13+Oct!J13+Nov!J13+Dec!J13</f>
        <v>7170</v>
      </c>
      <c r="I13" s="251">
        <f>Janvier!N13+Fevrier!L13+Mars!L13+Avril!L13+Mai!L13+Juin!L13+Juillet!L13+Aout!L13+Sept!L13+Oct!L13+Nov!L13+Dec!L13</f>
        <v>0</v>
      </c>
      <c r="J13" s="249">
        <f>Janvier!O13+Fevrier!M13+Mars!M13+Avril!M13+Mai!M13+Juin!M13+Juillet!M13+Aout!M13+Sept!M13+Oct!M13+Nov!M13+Dec!M13</f>
        <v>6052</v>
      </c>
      <c r="K13" s="251">
        <f>Janvier!Q13+Fevrier!O13+Mars!O13+Avril!O13+Mai!O13+Juin!O13+Juillet!O13+Aout!O13+Sept!O13+Oct!O13+Nov!O13+Dec!O13</f>
        <v>0</v>
      </c>
      <c r="L13" s="249">
        <f>Janvier!R13+Fevrier!P13+Mars!P13+Avril!P13+Mai!P13+Juin!P13+Juillet!P13+Aout!P13+Sept!P13+Oct!P13+Nov!P13+Dec!P13</f>
        <v>4486</v>
      </c>
      <c r="M13" s="251">
        <f>Janvier!T13+Fevrier!R13+Mars!R13+Avril!R13+Mai!R13+Juin!R13+Juillet!R13+Aout!R13+Sept!R13+Oct!R13+Nov!R13+Dec!R13</f>
        <v>0</v>
      </c>
      <c r="N13" s="249">
        <f>Janvier!U13+Fevrier!S13+Mars!S13+Avril!S13+Mai!S13+Juin!S13+Juillet!S13+Aout!S13+Sept!S13+Oct!S13+Nov!S13+Dec!S13</f>
        <v>2830</v>
      </c>
      <c r="O13" s="251">
        <f>Janvier!W13+Fevrier!U13+Mars!U13+Avril!U13+Mai!U13+Juin!U13+Juillet!U13+Aout!U13+Sept!U13+Oct!U13+Nov!U13+Dec!U13</f>
        <v>0</v>
      </c>
      <c r="P13" s="249">
        <f>Janvier!X13+Fevrier!V13+Mars!V13+Avril!V13+Mai!V13+Juin!V13+Juillet!V13+Aout!V13+Sept!V13+Oct!V13+Nov!V13+Dec!V13</f>
        <v>4570</v>
      </c>
      <c r="Q13" s="251">
        <f>Janvier!Z13+Fevrier!X13+Mars!X13+Avril!X13+Mai!X13+Juin!X13+Juillet!X13+Aout!X13+Sept!X13+Oct!X13+Nov!X13+Dec!X13</f>
        <v>0</v>
      </c>
      <c r="R13" s="249">
        <f>Janvier!AA13+Fevrier!Y13+Mars!Y13+Avril!Y13+Mai!Y13+Juin!Y13+Juillet!Y13+Aout!Y13+Sept!Y13+Oct!Y13+Nov!Y13+Dec!Y13</f>
        <v>3010</v>
      </c>
      <c r="S13" s="251">
        <f>Janvier!AC13+Fevrier!AA13+Mars!AA13+Avril!AA13+Mai!AA13+Juin!AA13+Juillet!AA13+Aout!AA13+Sept!AA13+Oct!AA13+Nov!AA13+Dec!AA13</f>
        <v>0</v>
      </c>
      <c r="T13" s="249">
        <f>Janvier!AD13+Fevrier!AB13+Mars!AB13+Avril!AB13+Mai!AB13+Juin!AB13+Juillet!AB13+Aout!AB13+Sept!AB13+Oct!AB13+Nov!AB13+Dec!AB13</f>
        <v>3320</v>
      </c>
      <c r="U13" s="251">
        <f>Janvier!AF13+Fevrier!AD13+Mars!AD13+Avril!AD13+Mai!AD13+Juin!AD13+Juillet!AD13+Aout!AD13+Sept!AD13+Oct!AD13+Nov!AD13+Dec!AD13</f>
        <v>1</v>
      </c>
      <c r="V13" s="249">
        <f>Janvier!AG13+Fevrier!AE13+Mars!AE13+Avril!AE13+Mai!AE13+Juin!AE13+Juillet!AE13+Aout!AE13+Sept!AE13+Oct!AE13+Nov!AE13+Dec!AE13</f>
        <v>4080</v>
      </c>
      <c r="W13" s="251">
        <f>Janvier!AI13+Fevrier!AG13+Mars!AG13+Avril!AG13+Mai!AG13+Juin!AG13+Juillet!AG13+Aout!AG13+Sept!AG13+Oct!AG13+Nov!AG13+Dec!AG13</f>
        <v>0</v>
      </c>
      <c r="X13" s="309">
        <f t="shared" si="0"/>
        <v>0.86941401495392112</v>
      </c>
      <c r="Y13" s="309">
        <f t="shared" si="1"/>
        <v>0.38557197910546631</v>
      </c>
      <c r="Z13" s="309">
        <f t="shared" si="2"/>
        <v>0.39465397433064864</v>
      </c>
      <c r="AA13" s="309">
        <f t="shared" si="3"/>
        <v>0.39530607937746065</v>
      </c>
      <c r="AB13" s="309">
        <f t="shared" si="4"/>
        <v>0.24692018533435003</v>
      </c>
      <c r="AC13" s="309">
        <f t="shared" si="5"/>
        <v>0.46730993613210697</v>
      </c>
      <c r="AD13" s="309">
        <f t="shared" si="6"/>
        <v>0.33505627039114338</v>
      </c>
      <c r="AE13" s="309">
        <f t="shared" si="7"/>
        <v>0.44136515268154991</v>
      </c>
      <c r="AF13" s="309">
        <f t="shared" si="8"/>
        <v>0.48682136441951684</v>
      </c>
      <c r="AG13" s="310">
        <f t="shared" si="9"/>
        <v>0.59826239964808092</v>
      </c>
    </row>
    <row r="14" spans="1:33" ht="15" thickBot="1" x14ac:dyDescent="0.35">
      <c r="A14" s="279" t="s">
        <v>85</v>
      </c>
      <c r="B14" s="280">
        <v>29213</v>
      </c>
      <c r="C14" s="281">
        <v>29184</v>
      </c>
      <c r="D14" s="291">
        <f>Janvier!F14+Fevrier!D14+Mars!D14+Avril!D14+Mai!D14+Juin!D14+Juillet!D14+Aout!D14+Sept!D14+Oct!D14+Nov!D14+Dec!D14</f>
        <v>33000</v>
      </c>
      <c r="E14" s="292">
        <f>+Janvier!H14+Fevrier!F14+Mars!F14+Avril!F14+Mai!F14+Juin!F14+Juillet!F14+Aout!F14+Sept!F14+Oct!F14+Nov!F14+Dec!F14</f>
        <v>12</v>
      </c>
      <c r="F14" s="291">
        <f>Janvier!I14+Fevrier!G14+Mars!G14+Avril!G14+Mai!G14+Juin!G14+Juillet!G14+Aout!G14+Sept!G14+Oct!G14+Nov!G14+Dec!G14</f>
        <v>89000</v>
      </c>
      <c r="G14" s="292">
        <f>+Janvier!K14+Fevrier!I14+Mars!I14+Avril!I14+Mai!I14+Juin!I14+Juillet!I14+Aout!I14+Sept!I14+Oct!I14+Nov!I14+Dec!I14</f>
        <v>10</v>
      </c>
      <c r="H14" s="291">
        <f>Janvier!L14+Fevrier!J14+Mars!J14+Avril!J14+Mai!J14+Juin!J14+Juillet!J14+Aout!J14+Sept!J14+Oct!J14+Nov!J14+Dec!J14</f>
        <v>70600</v>
      </c>
      <c r="I14" s="292">
        <f>Janvier!N14+Fevrier!L14+Mars!L14+Avril!L14+Mai!L14+Juin!L14+Juillet!L14+Aout!L14+Sept!L14+Oct!L14+Nov!L14+Dec!L14</f>
        <v>0</v>
      </c>
      <c r="J14" s="291">
        <f>Janvier!O14+Fevrier!M14+Mars!M14+Avril!M14+Mai!M14+Juin!M14+Juillet!M14+Aout!M14+Sept!M14+Oct!M14+Nov!M14+Dec!M14</f>
        <v>71800</v>
      </c>
      <c r="K14" s="292">
        <f>Janvier!Q14+Fevrier!O14+Mars!O14+Avril!O14+Mai!O14+Juin!O14+Juillet!O14+Aout!O14+Sept!O14+Oct!O14+Nov!O14+Dec!O14</f>
        <v>0</v>
      </c>
      <c r="L14" s="291">
        <f>Janvier!R14+Fevrier!P14+Mars!P14+Avril!P14+Mai!P14+Juin!P14+Juillet!P14+Aout!P14+Sept!P14+Oct!P14+Nov!P14+Dec!P14</f>
        <v>44350</v>
      </c>
      <c r="M14" s="292">
        <f>Janvier!T14+Fevrier!R14+Mars!R14+Avril!R14+Mai!R14+Juin!R14+Juillet!R14+Aout!R14+Sept!R14+Oct!R14+Nov!R14+Dec!R14</f>
        <v>0</v>
      </c>
      <c r="N14" s="291">
        <f>Janvier!U14+Fevrier!S14+Mars!S14+Avril!S14+Mai!S14+Juin!S14+Juillet!S14+Aout!S14+Sept!S14+Oct!S14+Nov!S14+Dec!S14</f>
        <v>25100</v>
      </c>
      <c r="O14" s="292">
        <f>Janvier!W14+Fevrier!U14+Mars!U14+Avril!U14+Mai!U14+Juin!U14+Juillet!U14+Aout!U14+Sept!U14+Oct!U14+Nov!U14+Dec!U14</f>
        <v>0</v>
      </c>
      <c r="P14" s="291">
        <f>Janvier!X14+Fevrier!V14+Mars!V14+Avril!V14+Mai!V14+Juin!V14+Juillet!V14+Aout!V14+Sept!V14+Oct!V14+Nov!V14+Dec!V14</f>
        <v>36000</v>
      </c>
      <c r="Q14" s="292">
        <f>Janvier!Z14+Fevrier!X14+Mars!X14+Avril!X14+Mai!X14+Juin!X14+Juillet!X14+Aout!X14+Sept!X14+Oct!X14+Nov!X14+Dec!X14</f>
        <v>0</v>
      </c>
      <c r="R14" s="291">
        <f>Janvier!AA14+Fevrier!Y14+Mars!Y14+Avril!Y14+Mai!Y14+Juin!Y14+Juillet!Y14+Aout!Y14+Sept!Y14+Oct!Y14+Nov!Y14+Dec!Y14</f>
        <v>27100</v>
      </c>
      <c r="S14" s="292">
        <f>Janvier!AC14+Fevrier!AA14+Mars!AA14+Avril!AA14+Mai!AA14+Juin!AA14+Juillet!AA14+Aout!AA14+Sept!AA14+Oct!AA14+Nov!AA14+Dec!AA14</f>
        <v>10</v>
      </c>
      <c r="T14" s="291">
        <f>Janvier!AD14+Fevrier!AB14+Mars!AB14+Avril!AB14+Mai!AB14+Juin!AB14+Juillet!AB14+Aout!AB14+Sept!AB14+Oct!AB14+Nov!AB14+Dec!AB14</f>
        <v>24500</v>
      </c>
      <c r="U14" s="292">
        <f>Janvier!AF14+Fevrier!AD14+Mars!AD14+Avril!AD14+Mai!AD14+Juin!AD14+Juillet!AD14+Aout!AD14+Sept!AD14+Oct!AD14+Nov!AD14+Dec!AD14</f>
        <v>0</v>
      </c>
      <c r="V14" s="291">
        <f>Janvier!AG14+Fevrier!AE14+Mars!AE14+Avril!AE14+Mai!AE14+Juin!AE14+Juillet!AE14+Aout!AE14+Sept!AE14+Oct!AE14+Nov!AE14+Dec!AE14</f>
        <v>44100</v>
      </c>
      <c r="W14" s="292">
        <f>Janvier!AI14+Fevrier!AG14+Mars!AG14+Avril!AG14+Mai!AG14+Juin!AG14+Juillet!AG14+Aout!AG14+Sept!AG14+Oct!AG14+Nov!AG14+Dec!AG14</f>
        <v>0</v>
      </c>
      <c r="X14" s="309">
        <f t="shared" si="0"/>
        <v>0.88390772067680334</v>
      </c>
      <c r="Y14" s="309">
        <f t="shared" si="1"/>
        <v>0.76316722424178551</v>
      </c>
      <c r="Z14" s="309">
        <f t="shared" si="2"/>
        <v>0.80718510908569385</v>
      </c>
      <c r="AA14" s="309">
        <f t="shared" si="3"/>
        <v>0.32809039308575055</v>
      </c>
      <c r="AB14" s="309">
        <f t="shared" si="4"/>
        <v>0.50706316696813769</v>
      </c>
      <c r="AC14" s="309">
        <f t="shared" si="5"/>
        <v>0.86092122824578943</v>
      </c>
      <c r="AD14" s="309">
        <f t="shared" si="6"/>
        <v>0.54824561403508776</v>
      </c>
      <c r="AE14" s="309">
        <f t="shared" si="7"/>
        <v>0.82541423001949321</v>
      </c>
      <c r="AF14" s="309">
        <f t="shared" si="8"/>
        <v>0.74622319688109162</v>
      </c>
      <c r="AG14" s="310">
        <f t="shared" si="9"/>
        <v>1.3432017543859649</v>
      </c>
    </row>
    <row r="15" spans="1:33" x14ac:dyDescent="0.3">
      <c r="A15" s="184" t="s">
        <v>57</v>
      </c>
      <c r="B15" s="277">
        <v>4599</v>
      </c>
      <c r="C15" s="284">
        <v>4594</v>
      </c>
      <c r="D15" s="276">
        <f>Janvier!F15+Fevrier!D15+Mars!D15+Avril!D15+Mai!D15+Juin!D15+Juillet!D15+Aout!D15+Sept!D15+Oct!D15+Nov!D15+Dec!D15</f>
        <v>3020</v>
      </c>
      <c r="E15" s="239">
        <f>+Janvier!H15+Fevrier!F15+Mars!F15+Avril!F15+Mai!F15+Juin!F15+Juillet!F15+Aout!F15+Sept!F15+Oct!F15+Nov!F15+Dec!F15</f>
        <v>0</v>
      </c>
      <c r="F15" s="276">
        <f>Janvier!I15+Fevrier!G15+Mars!G15+Avril!G15+Mai!G15+Juin!G15+Juillet!G15+Aout!G15+Sept!G15+Oct!G15+Nov!G15+Dec!G15</f>
        <v>10140</v>
      </c>
      <c r="G15" s="239">
        <f>+Janvier!K15+Fevrier!I15+Mars!I15+Avril!I15+Mai!I15+Juin!I15+Juillet!I15+Aout!I15+Sept!I15+Oct!I15+Nov!I15+Dec!I15</f>
        <v>0</v>
      </c>
      <c r="H15" s="276">
        <f>Janvier!L15+Fevrier!J15+Mars!J15+Avril!J15+Mai!J15+Juin!J15+Juillet!J15+Aout!J15+Sept!J15+Oct!J15+Nov!J15+Dec!J15</f>
        <v>8100</v>
      </c>
      <c r="I15" s="239">
        <f>Janvier!N15+Fevrier!L15+Mars!L15+Avril!L15+Mai!L15+Juin!L15+Juillet!L15+Aout!L15+Sept!L15+Oct!L15+Nov!L15+Dec!L15</f>
        <v>0</v>
      </c>
      <c r="J15" s="276">
        <f>Janvier!O15+Fevrier!M15+Mars!M15+Avril!M15+Mai!M15+Juin!M15+Juillet!M15+Aout!M15+Sept!M15+Oct!M15+Nov!M15+Dec!M15</f>
        <v>8012</v>
      </c>
      <c r="K15" s="239">
        <f>Janvier!Q15+Fevrier!O15+Mars!O15+Avril!O15+Mai!O15+Juin!O15+Juillet!O15+Aout!O15+Sept!O15+Oct!O15+Nov!O15+Dec!O15</f>
        <v>0</v>
      </c>
      <c r="L15" s="276">
        <f>Janvier!R15+Fevrier!P15+Mars!P15+Avril!P15+Mai!P15+Juin!P15+Juillet!P15+Aout!P15+Sept!P15+Oct!P15+Nov!P15+Dec!P15</f>
        <v>4427</v>
      </c>
      <c r="M15" s="239">
        <f>Janvier!T15+Fevrier!R15+Mars!R15+Avril!R15+Mai!R15+Juin!R15+Juillet!R15+Aout!R15+Sept!R15+Oct!R15+Nov!R15+Dec!R15</f>
        <v>0</v>
      </c>
      <c r="N15" s="276">
        <f>Janvier!U15+Fevrier!S15+Mars!S15+Avril!S15+Mai!S15+Juin!S15+Juillet!S15+Aout!S15+Sept!S15+Oct!S15+Nov!S15+Dec!S15</f>
        <v>2830</v>
      </c>
      <c r="O15" s="239">
        <f>Janvier!W15+Fevrier!U15+Mars!U15+Avril!U15+Mai!U15+Juin!U15+Juillet!U15+Aout!U15+Sept!U15+Oct!U15+Nov!U15+Dec!U15</f>
        <v>0</v>
      </c>
      <c r="P15" s="276">
        <f>Janvier!X15+Fevrier!V15+Mars!V15+Avril!V15+Mai!V15+Juin!V15+Juillet!V15+Aout!V15+Sept!V15+Oct!V15+Nov!V15+Dec!V15</f>
        <v>4460</v>
      </c>
      <c r="Q15" s="239">
        <f>Janvier!Z15+Fevrier!X15+Mars!X15+Avril!X15+Mai!X15+Juin!X15+Juillet!X15+Aout!X15+Sept!X15+Oct!X15+Nov!X15+Dec!X15</f>
        <v>0</v>
      </c>
      <c r="R15" s="276">
        <f>Janvier!AA15+Fevrier!Y15+Mars!Y15+Avril!Y15+Mai!Y15+Juin!Y15+Juillet!Y15+Aout!Y15+Sept!Y15+Oct!Y15+Nov!Y15+Dec!Y15</f>
        <v>3050</v>
      </c>
      <c r="S15" s="239">
        <f>Janvier!AC15+Fevrier!AA15+Mars!AA15+Avril!AA15+Mai!AA15+Juin!AA15+Juillet!AA15+Aout!AA15+Sept!AA15+Oct!AA15+Nov!AA15+Dec!AA15</f>
        <v>0</v>
      </c>
      <c r="T15" s="276">
        <f>Janvier!AD15+Fevrier!AB15+Mars!AB15+Avril!AB15+Mai!AB15+Juin!AB15+Juillet!AB15+Aout!AB15+Sept!AB15+Oct!AB15+Nov!AB15+Dec!AB15</f>
        <v>2640</v>
      </c>
      <c r="U15" s="239">
        <f>Janvier!AF15+Fevrier!AD15+Mars!AD15+Avril!AD15+Mai!AD15+Juin!AD15+Juillet!AD15+Aout!AD15+Sept!AD15+Oct!AD15+Nov!AD15+Dec!AD15</f>
        <v>0</v>
      </c>
      <c r="V15" s="276">
        <f>Janvier!AG15+Fevrier!AE15+Mars!AE15+Avril!AE15+Mai!AE15+Juin!AE15+Juillet!AE15+Aout!AE15+Sept!AE15+Oct!AE15+Nov!AE15+Dec!AE15</f>
        <v>3910</v>
      </c>
      <c r="W15" s="239">
        <f>Janvier!AI15+Fevrier!AG15+Mars!AG15+Avril!AG15+Mai!AG15+Juin!AG15+Juillet!AG15+Aout!AG15+Sept!AG15+Oct!AG15+Nov!AG15+Dec!AG15</f>
        <v>0</v>
      </c>
      <c r="X15" s="309">
        <f t="shared" si="0"/>
        <v>0.51382198144047786</v>
      </c>
      <c r="Y15" s="309">
        <f t="shared" si="1"/>
        <v>0.55235906346050001</v>
      </c>
      <c r="Z15" s="309">
        <f t="shared" si="2"/>
        <v>0.58831142853781071</v>
      </c>
      <c r="AA15" s="309">
        <f t="shared" si="3"/>
        <v>0.33733184007772121</v>
      </c>
      <c r="AB15" s="309">
        <f t="shared" si="4"/>
        <v>0.3215376165601096</v>
      </c>
      <c r="AC15" s="309">
        <f t="shared" si="5"/>
        <v>0.61663753435629787</v>
      </c>
      <c r="AD15" s="309">
        <f t="shared" si="6"/>
        <v>0.43148067527693124</v>
      </c>
      <c r="AE15" s="309">
        <f t="shared" si="7"/>
        <v>0.59014173075992837</v>
      </c>
      <c r="AF15" s="309">
        <f t="shared" si="8"/>
        <v>0.51081120301842986</v>
      </c>
      <c r="AG15" s="310">
        <f t="shared" si="9"/>
        <v>0.75654234992502301</v>
      </c>
    </row>
    <row r="16" spans="1:33" x14ac:dyDescent="0.3">
      <c r="A16" s="184" t="s">
        <v>58</v>
      </c>
      <c r="B16" s="212">
        <v>7713</v>
      </c>
      <c r="C16" s="274">
        <v>7705</v>
      </c>
      <c r="D16" s="130">
        <f>Janvier!F16+Fevrier!D16+Mars!D16+Avril!D16+Mai!D16+Juin!D16+Juillet!D16+Aout!D16+Sept!D16+Oct!D16+Nov!D16+Dec!D16</f>
        <v>12880</v>
      </c>
      <c r="E16" s="169">
        <f>+Janvier!H16+Fevrier!F16+Mars!F16+Avril!F16+Mai!F16+Juin!F16+Juillet!F16+Aout!F16+Sept!F16+Oct!F16+Nov!F16+Dec!F16</f>
        <v>19</v>
      </c>
      <c r="F16" s="130">
        <f>Janvier!I16+Fevrier!G16+Mars!G16+Avril!G16+Mai!G16+Juin!G16+Juillet!G16+Aout!G16+Sept!G16+Oct!G16+Nov!G16+Dec!G16</f>
        <v>30680</v>
      </c>
      <c r="G16" s="169">
        <f>+Janvier!K16+Fevrier!I16+Mars!I16+Avril!I16+Mai!I16+Juin!I16+Juillet!I16+Aout!I16+Sept!I16+Oct!I16+Nov!I16+Dec!I16</f>
        <v>19</v>
      </c>
      <c r="H16" s="130">
        <f>Janvier!L16+Fevrier!J16+Mars!J16+Avril!J16+Mai!J16+Juin!J16+Juillet!J16+Aout!J16+Sept!J16+Oct!J16+Nov!J16+Dec!J16</f>
        <v>29100</v>
      </c>
      <c r="I16" s="169">
        <f>Janvier!N16+Fevrier!L16+Mars!L16+Avril!L16+Mai!L16+Juin!L16+Juillet!L16+Aout!L16+Sept!L16+Oct!L16+Nov!L16+Dec!L16</f>
        <v>1</v>
      </c>
      <c r="J16" s="130">
        <f>Janvier!O16+Fevrier!M16+Mars!M16+Avril!M16+Mai!M16+Juin!M16+Juillet!M16+Aout!M16+Sept!M16+Oct!M16+Nov!M16+Dec!M16</f>
        <v>27652</v>
      </c>
      <c r="K16" s="169">
        <f>Janvier!Q16+Fevrier!O16+Mars!O16+Avril!O16+Mai!O16+Juin!O16+Juillet!O16+Aout!O16+Sept!O16+Oct!O16+Nov!O16+Dec!O16</f>
        <v>0</v>
      </c>
      <c r="L16" s="130">
        <f>Janvier!R16+Fevrier!P16+Mars!P16+Avril!P16+Mai!P16+Juin!P16+Juillet!P16+Aout!P16+Sept!P16+Oct!P16+Nov!P16+Dec!P16</f>
        <v>17565</v>
      </c>
      <c r="M16" s="169">
        <f>Janvier!T16+Fevrier!R16+Mars!R16+Avril!R16+Mai!R16+Juin!R16+Juillet!R16+Aout!R16+Sept!R16+Oct!R16+Nov!R16+Dec!R16</f>
        <v>0</v>
      </c>
      <c r="N16" s="130">
        <f>Janvier!U16+Fevrier!S16+Mars!S16+Avril!S16+Mai!S16+Juin!S16+Juillet!S16+Aout!S16+Sept!S16+Oct!S16+Nov!S16+Dec!S16</f>
        <v>8460</v>
      </c>
      <c r="O16" s="169">
        <f>Janvier!W16+Fevrier!U16+Mars!U16+Avril!U16+Mai!U16+Juin!U16+Juillet!U16+Aout!U16+Sept!U16+Oct!U16+Nov!U16+Dec!U16</f>
        <v>0</v>
      </c>
      <c r="P16" s="130">
        <f>Janvier!X16+Fevrier!V16+Mars!V16+Avril!V16+Mai!V16+Juin!V16+Juillet!V16+Aout!V16+Sept!V16+Oct!V16+Nov!V16+Dec!V16</f>
        <v>14100</v>
      </c>
      <c r="Q16" s="169">
        <f>Janvier!Z16+Fevrier!X16+Mars!X16+Avril!X16+Mai!X16+Juin!X16+Juillet!X16+Aout!X16+Sept!X16+Oct!X16+Nov!X16+Dec!X16</f>
        <v>0</v>
      </c>
      <c r="R16" s="130">
        <f>Janvier!AA16+Fevrier!Y16+Mars!Y16+Avril!Y16+Mai!Y16+Juin!Y16+Juillet!Y16+Aout!Y16+Sept!Y16+Oct!Y16+Nov!Y16+Dec!Y16</f>
        <v>9650</v>
      </c>
      <c r="S16" s="169">
        <f>Janvier!AC16+Fevrier!AA16+Mars!AA16+Avril!AA16+Mai!AA16+Juin!AA16+Juillet!AA16+Aout!AA16+Sept!AA16+Oct!AA16+Nov!AA16+Dec!AA16</f>
        <v>0</v>
      </c>
      <c r="T16" s="130">
        <f>Janvier!AD16+Fevrier!AB16+Mars!AB16+Avril!AB16+Mai!AB16+Juin!AB16+Juillet!AB16+Aout!AB16+Sept!AB16+Oct!AB16+Nov!AB16+Dec!AB16</f>
        <v>9890</v>
      </c>
      <c r="U16" s="169">
        <f>Janvier!AF16+Fevrier!AD16+Mars!AD16+Avril!AD16+Mai!AD16+Juin!AD16+Juillet!AD16+Aout!AD16+Sept!AD16+Oct!AD16+Nov!AD16+Dec!AD16</f>
        <v>0</v>
      </c>
      <c r="V16" s="130">
        <f>Janvier!AG16+Fevrier!AE16+Mars!AE16+Avril!AE16+Mai!AE16+Juin!AE16+Juillet!AE16+Aout!AE16+Sept!AE16+Oct!AE16+Nov!AE16+Dec!AE16</f>
        <v>16820</v>
      </c>
      <c r="W16" s="169">
        <f>Janvier!AI16+Fevrier!AG16+Mars!AG16+Avril!AG16+Mai!AG16+Juin!AG16+Juillet!AG16+Aout!AG16+Sept!AG16+Oct!AG16+Nov!AG16+Dec!AG16</f>
        <v>0</v>
      </c>
      <c r="X16" s="309">
        <f t="shared" si="0"/>
        <v>1.3066572360100936</v>
      </c>
      <c r="Y16" s="309">
        <f t="shared" si="1"/>
        <v>0.99645394908211249</v>
      </c>
      <c r="Z16" s="309">
        <f t="shared" si="2"/>
        <v>1.2601829603776391</v>
      </c>
      <c r="AA16" s="309">
        <f t="shared" si="3"/>
        <v>0.35113950924742188</v>
      </c>
      <c r="AB16" s="309">
        <f t="shared" si="4"/>
        <v>0.76065682814547186</v>
      </c>
      <c r="AC16" s="309">
        <f t="shared" si="5"/>
        <v>1.099087406679879</v>
      </c>
      <c r="AD16" s="309">
        <f t="shared" si="6"/>
        <v>0.8133246809431105</v>
      </c>
      <c r="AE16" s="309">
        <f t="shared" si="7"/>
        <v>1.1132742086668108</v>
      </c>
      <c r="AF16" s="309">
        <f t="shared" si="8"/>
        <v>1.1409618573797677</v>
      </c>
      <c r="AG16" s="310">
        <f t="shared" si="9"/>
        <v>1.9404427139663998</v>
      </c>
    </row>
    <row r="17" spans="1:33" x14ac:dyDescent="0.3">
      <c r="A17" s="184" t="s">
        <v>59</v>
      </c>
      <c r="B17" s="212">
        <v>4104</v>
      </c>
      <c r="C17" s="274">
        <v>4100</v>
      </c>
      <c r="D17" s="130">
        <f>Janvier!F17+Fevrier!D17+Mars!D17+Avril!D17+Mai!D17+Juin!D17+Juillet!D17+Aout!D17+Sept!D17+Oct!D17+Nov!D17+Dec!D17</f>
        <v>8360</v>
      </c>
      <c r="E17" s="169">
        <f>+Janvier!H17+Fevrier!F17+Mars!F17+Avril!F17+Mai!F17+Juin!F17+Juillet!F17+Aout!F17+Sept!F17+Oct!F17+Nov!F17+Dec!F17</f>
        <v>8</v>
      </c>
      <c r="F17" s="130">
        <f>Janvier!I17+Fevrier!G17+Mars!G17+Avril!G17+Mai!G17+Juin!G17+Juillet!G17+Aout!G17+Sept!G17+Oct!G17+Nov!G17+Dec!G17</f>
        <v>15640</v>
      </c>
      <c r="G17" s="169">
        <f>+Janvier!K17+Fevrier!I17+Mars!I17+Avril!I17+Mai!I17+Juin!I17+Juillet!I17+Aout!I17+Sept!I17+Oct!I17+Nov!I17+Dec!I17</f>
        <v>0</v>
      </c>
      <c r="H17" s="130">
        <f>Janvier!L17+Fevrier!J17+Mars!J17+Avril!J17+Mai!J17+Juin!J17+Juillet!J17+Aout!J17+Sept!J17+Oct!J17+Nov!J17+Dec!J17</f>
        <v>13820</v>
      </c>
      <c r="I17" s="169">
        <f>Janvier!N17+Fevrier!L17+Mars!L17+Avril!L17+Mai!L17+Juin!L17+Juillet!L17+Aout!L17+Sept!L17+Oct!L17+Nov!L17+Dec!L17</f>
        <v>0</v>
      </c>
      <c r="J17" s="130">
        <f>Janvier!O17+Fevrier!M17+Mars!M17+Avril!M17+Mai!M17+Juin!M17+Juillet!M17+Aout!M17+Sept!M17+Oct!M17+Nov!M17+Dec!M17</f>
        <v>13604</v>
      </c>
      <c r="K17" s="169">
        <f>Janvier!Q17+Fevrier!O17+Mars!O17+Avril!O17+Mai!O17+Juin!O17+Juillet!O17+Aout!O17+Sept!O17+Oct!O17+Nov!O17+Dec!O17</f>
        <v>0</v>
      </c>
      <c r="L17" s="130">
        <f>Janvier!R17+Fevrier!P17+Mars!P17+Avril!P17+Mai!P17+Juin!P17+Juillet!P17+Aout!P17+Sept!P17+Oct!P17+Nov!P17+Dec!P17</f>
        <v>9788</v>
      </c>
      <c r="M17" s="169">
        <f>Janvier!T17+Fevrier!R17+Mars!R17+Avril!R17+Mai!R17+Juin!R17+Juillet!R17+Aout!R17+Sept!R17+Oct!R17+Nov!R17+Dec!R17</f>
        <v>0</v>
      </c>
      <c r="N17" s="130">
        <f>Janvier!U17+Fevrier!S17+Mars!S17+Avril!S17+Mai!S17+Juin!S17+Juillet!S17+Aout!S17+Sept!S17+Oct!S17+Nov!S17+Dec!S17</f>
        <v>4790</v>
      </c>
      <c r="O17" s="169">
        <f>Janvier!W17+Fevrier!U17+Mars!U17+Avril!U17+Mai!U17+Juin!U17+Juillet!U17+Aout!U17+Sept!U17+Oct!U17+Nov!U17+Dec!U17</f>
        <v>0</v>
      </c>
      <c r="P17" s="130">
        <f>Janvier!X17+Fevrier!V17+Mars!V17+Avril!V17+Mai!V17+Juin!V17+Juillet!V17+Aout!V17+Sept!V17+Oct!V17+Nov!V17+Dec!V17</f>
        <v>7840</v>
      </c>
      <c r="Q17" s="169">
        <f>Janvier!Z17+Fevrier!X17+Mars!X17+Avril!X17+Mai!X17+Juin!X17+Juillet!X17+Aout!X17+Sept!X17+Oct!X17+Nov!X17+Dec!X17</f>
        <v>0</v>
      </c>
      <c r="R17" s="130">
        <f>Janvier!AA17+Fevrier!Y17+Mars!Y17+Avril!Y17+Mai!Y17+Juin!Y17+Juillet!Y17+Aout!Y17+Sept!Y17+Oct!Y17+Nov!Y17+Dec!Y17</f>
        <v>4790</v>
      </c>
      <c r="S17" s="169">
        <f>Janvier!AC17+Fevrier!AA17+Mars!AA17+Avril!AA17+Mai!AA17+Juin!AA17+Juillet!AA17+Aout!AA17+Sept!AA17+Oct!AA17+Nov!AA17+Dec!AA17</f>
        <v>0</v>
      </c>
      <c r="T17" s="130">
        <f>Janvier!AD17+Fevrier!AB17+Mars!AB17+Avril!AB17+Mai!AB17+Juin!AB17+Juillet!AB17+Aout!AB17+Sept!AB17+Oct!AB17+Nov!AB17+Dec!AB17</f>
        <v>5520</v>
      </c>
      <c r="U17" s="169">
        <f>Janvier!AF17+Fevrier!AD17+Mars!AD17+Avril!AD17+Mai!AD17+Juin!AD17+Juillet!AD17+Aout!AD17+Sept!AD17+Oct!AD17+Nov!AD17+Dec!AD17</f>
        <v>0</v>
      </c>
      <c r="V17" s="130">
        <f>Janvier!AG17+Fevrier!AE17+Mars!AE17+Avril!AE17+Mai!AE17+Juin!AE17+Juillet!AE17+Aout!AE17+Sept!AE17+Oct!AE17+Nov!AE17+Dec!AE17</f>
        <v>9260</v>
      </c>
      <c r="W17" s="169">
        <f>Janvier!AI17+Fevrier!AG17+Mars!AG17+Avril!AG17+Mai!AG17+Juin!AG17+Juillet!AG17+Aout!AG17+Sept!AG17+Oct!AG17+Nov!AG17+Dec!AG17</f>
        <v>0</v>
      </c>
      <c r="X17" s="309">
        <f t="shared" si="0"/>
        <v>1.5939256940821889</v>
      </c>
      <c r="Y17" s="309">
        <f t="shared" si="1"/>
        <v>0.95461314973510081</v>
      </c>
      <c r="Z17" s="309">
        <f t="shared" si="2"/>
        <v>1.1247019377100678</v>
      </c>
      <c r="AA17" s="309">
        <f t="shared" si="3"/>
        <v>0.33896485920400449</v>
      </c>
      <c r="AB17" s="309">
        <f t="shared" si="4"/>
        <v>0.79656892665022738</v>
      </c>
      <c r="AC17" s="309">
        <f t="shared" si="5"/>
        <v>1.1694621450719009</v>
      </c>
      <c r="AD17" s="309">
        <f t="shared" si="6"/>
        <v>0.84986449864498648</v>
      </c>
      <c r="AE17" s="309">
        <f t="shared" si="7"/>
        <v>1.0384823848238482</v>
      </c>
      <c r="AF17" s="309">
        <f t="shared" si="8"/>
        <v>1.1967479674796748</v>
      </c>
      <c r="AG17" s="310">
        <f t="shared" si="9"/>
        <v>2.0075880758807587</v>
      </c>
    </row>
    <row r="18" spans="1:33" x14ac:dyDescent="0.3">
      <c r="A18" s="184" t="s">
        <v>60</v>
      </c>
      <c r="B18" s="212">
        <v>6362</v>
      </c>
      <c r="C18" s="274">
        <v>6356</v>
      </c>
      <c r="D18" s="130">
        <f>Janvier!F18+Fevrier!D18+Mars!D18+Avril!D18+Mai!D18+Juin!D18+Juillet!D18+Aout!D18+Sept!D18+Oct!D18+Nov!D18+Dec!D18</f>
        <v>5920</v>
      </c>
      <c r="E18" s="169">
        <f>+Janvier!H18+Fevrier!F18+Mars!F18+Avril!F18+Mai!F18+Juin!F18+Juillet!F18+Aout!F18+Sept!F18+Oct!F18+Nov!F18+Dec!F18</f>
        <v>17</v>
      </c>
      <c r="F18" s="130">
        <f>Janvier!I18+Fevrier!G18+Mars!G18+Avril!G18+Mai!G18+Juin!G18+Juillet!G18+Aout!G18+Sept!G18+Oct!G18+Nov!G18+Dec!G18</f>
        <v>15580</v>
      </c>
      <c r="G18" s="169">
        <f>+Janvier!K18+Fevrier!I18+Mars!I18+Avril!I18+Mai!I18+Juin!I18+Juillet!I18+Aout!I18+Sept!I18+Oct!I18+Nov!I18+Dec!I18</f>
        <v>5</v>
      </c>
      <c r="H18" s="130">
        <f>Janvier!L18+Fevrier!J18+Mars!J18+Avril!J18+Mai!J18+Juin!J18+Juillet!J18+Aout!J18+Sept!J18+Oct!J18+Nov!J18+Dec!J18</f>
        <v>14120</v>
      </c>
      <c r="I18" s="169">
        <f>Janvier!N18+Fevrier!L18+Mars!L18+Avril!L18+Mai!L18+Juin!L18+Juillet!L18+Aout!L18+Sept!L18+Oct!L18+Nov!L18+Dec!L18</f>
        <v>5</v>
      </c>
      <c r="J18" s="130">
        <f>Janvier!O18+Fevrier!M18+Mars!M18+Avril!M18+Mai!M18+Juin!M18+Juillet!M18+Aout!M18+Sept!M18+Oct!M18+Nov!M18+Dec!M18</f>
        <v>13592</v>
      </c>
      <c r="K18" s="169">
        <f>Janvier!Q18+Fevrier!O18+Mars!O18+Avril!O18+Mai!O18+Juin!O18+Juillet!O18+Aout!O18+Sept!O18+Oct!O18+Nov!O18+Dec!O18</f>
        <v>5</v>
      </c>
      <c r="L18" s="130">
        <f>Janvier!R18+Fevrier!P18+Mars!P18+Avril!P18+Mai!P18+Juin!P18+Juillet!P18+Aout!P18+Sept!P18+Oct!P18+Nov!P18+Dec!P18</f>
        <v>8732</v>
      </c>
      <c r="M18" s="169">
        <f>Janvier!T18+Fevrier!R18+Mars!R18+Avril!R18+Mai!R18+Juin!R18+Juillet!R18+Aout!R18+Sept!R18+Oct!R18+Nov!R18+Dec!R18</f>
        <v>0</v>
      </c>
      <c r="N18" s="130">
        <f>Janvier!U18+Fevrier!S18+Mars!S18+Avril!S18+Mai!S18+Juin!S18+Juillet!S18+Aout!S18+Sept!S18+Oct!S18+Nov!S18+Dec!S18</f>
        <v>4535</v>
      </c>
      <c r="O18" s="169">
        <f>Janvier!W18+Fevrier!U18+Mars!U18+Avril!U18+Mai!U18+Juin!U18+Juillet!U18+Aout!U18+Sept!U18+Oct!U18+Nov!U18+Dec!U18</f>
        <v>0</v>
      </c>
      <c r="P18" s="130">
        <f>Janvier!X18+Fevrier!V18+Mars!V18+Avril!V18+Mai!V18+Juin!V18+Juillet!V18+Aout!V18+Sept!V18+Oct!V18+Nov!V18+Dec!V18</f>
        <v>6170</v>
      </c>
      <c r="Q18" s="169">
        <f>Janvier!Z18+Fevrier!X18+Mars!X18+Avril!X18+Mai!X18+Juin!X18+Juillet!X18+Aout!X18+Sept!X18+Oct!X18+Nov!X18+Dec!X18</f>
        <v>0</v>
      </c>
      <c r="R18" s="130">
        <f>Janvier!AA18+Fevrier!Y18+Mars!Y18+Avril!Y18+Mai!Y18+Juin!Y18+Juillet!Y18+Aout!Y18+Sept!Y18+Oct!Y18+Nov!Y18+Dec!Y18</f>
        <v>5250</v>
      </c>
      <c r="S18" s="169">
        <f>Janvier!AC18+Fevrier!AA18+Mars!AA18+Avril!AA18+Mai!AA18+Juin!AA18+Juillet!AA18+Aout!AA18+Sept!AA18+Oct!AA18+Nov!AA18+Dec!AA18</f>
        <v>0</v>
      </c>
      <c r="T18" s="130">
        <f>Janvier!AD18+Fevrier!AB18+Mars!AB18+Avril!AB18+Mai!AB18+Juin!AB18+Juillet!AB18+Aout!AB18+Sept!AB18+Oct!AB18+Nov!AB18+Dec!AB18</f>
        <v>4090</v>
      </c>
      <c r="U18" s="169">
        <f>Janvier!AF18+Fevrier!AD18+Mars!AD18+Avril!AD18+Mai!AD18+Juin!AD18+Juillet!AD18+Aout!AD18+Sept!AD18+Oct!AD18+Nov!AD18+Dec!AD18</f>
        <v>0</v>
      </c>
      <c r="V18" s="130">
        <f>Janvier!AG18+Fevrier!AE18+Mars!AE18+Avril!AE18+Mai!AE18+Juin!AE18+Juillet!AE18+Aout!AE18+Sept!AE18+Oct!AE18+Nov!AE18+Dec!AE18</f>
        <v>7290</v>
      </c>
      <c r="W18" s="169">
        <f>Janvier!AI18+Fevrier!AG18+Mars!AG18+Avril!AG18+Mai!AG18+Juin!AG18+Juillet!AG18+Aout!AG18+Sept!AG18+Oct!AG18+Nov!AG18+Dec!AG18</f>
        <v>0</v>
      </c>
      <c r="X18" s="309">
        <f t="shared" si="0"/>
        <v>0.72811032248891727</v>
      </c>
      <c r="Y18" s="309">
        <f t="shared" si="1"/>
        <v>0.61342021694444593</v>
      </c>
      <c r="Z18" s="309">
        <f t="shared" si="2"/>
        <v>0.74124890571292923</v>
      </c>
      <c r="AA18" s="309">
        <f t="shared" si="3"/>
        <v>0.34662875549671701</v>
      </c>
      <c r="AB18" s="309">
        <f t="shared" si="4"/>
        <v>0.45839840259810888</v>
      </c>
      <c r="AC18" s="309">
        <f t="shared" si="5"/>
        <v>0.71421326927934847</v>
      </c>
      <c r="AD18" s="309">
        <f t="shared" si="6"/>
        <v>0.43143836095377941</v>
      </c>
      <c r="AE18" s="309">
        <f t="shared" si="7"/>
        <v>0.73421439060205573</v>
      </c>
      <c r="AF18" s="309">
        <f t="shared" si="8"/>
        <v>0.57198797286903003</v>
      </c>
      <c r="AG18" s="310">
        <f t="shared" si="9"/>
        <v>1.0195091252359973</v>
      </c>
    </row>
    <row r="19" spans="1:33" x14ac:dyDescent="0.3">
      <c r="A19" s="184" t="s">
        <v>61</v>
      </c>
      <c r="B19" s="212">
        <v>2506</v>
      </c>
      <c r="C19" s="274">
        <v>2503</v>
      </c>
      <c r="D19" s="130">
        <f>Janvier!F19+Fevrier!D19+Mars!D19+Avril!D19+Mai!D19+Juin!D19+Juillet!D19+Aout!D19+Sept!D19+Oct!D19+Nov!D19+Dec!D19</f>
        <v>1920</v>
      </c>
      <c r="E19" s="169">
        <f>+Janvier!H19+Fevrier!F19+Mars!F19+Avril!F19+Mai!F19+Juin!F19+Juillet!F19+Aout!F19+Sept!F19+Oct!F19+Nov!F19+Dec!F19</f>
        <v>0</v>
      </c>
      <c r="F19" s="130">
        <f>Janvier!I19+Fevrier!G19+Mars!G19+Avril!G19+Mai!G19+Juin!G19+Juillet!G19+Aout!G19+Sept!G19+Oct!G19+Nov!G19+Dec!G19</f>
        <v>5700</v>
      </c>
      <c r="G19" s="169">
        <f>+Janvier!K19+Fevrier!I19+Mars!I19+Avril!I19+Mai!I19+Juin!I19+Juillet!I19+Aout!I19+Sept!I19+Oct!I19+Nov!I19+Dec!I19</f>
        <v>0</v>
      </c>
      <c r="H19" s="130">
        <f>Janvier!L19+Fevrier!J19+Mars!J19+Avril!J19+Mai!J19+Juin!J19+Juillet!J19+Aout!J19+Sept!J19+Oct!J19+Nov!J19+Dec!J19</f>
        <v>4280</v>
      </c>
      <c r="I19" s="169">
        <f>Janvier!N19+Fevrier!L19+Mars!L19+Avril!L19+Mai!L19+Juin!L19+Juillet!L19+Aout!L19+Sept!L19+Oct!L19+Nov!L19+Dec!L19</f>
        <v>0</v>
      </c>
      <c r="J19" s="130">
        <f>Janvier!O19+Fevrier!M19+Mars!M19+Avril!M19+Mai!M19+Juin!M19+Juillet!M19+Aout!M19+Sept!M19+Oct!M19+Nov!M19+Dec!M19</f>
        <v>4328</v>
      </c>
      <c r="K19" s="169">
        <f>Janvier!Q19+Fevrier!O19+Mars!O19+Avril!O19+Mai!O19+Juin!O19+Juillet!O19+Aout!O19+Sept!O19+Oct!O19+Nov!O19+Dec!O19</f>
        <v>0</v>
      </c>
      <c r="L19" s="130">
        <f>Janvier!R19+Fevrier!P19+Mars!P19+Avril!P19+Mai!P19+Juin!P19+Juillet!P19+Aout!P19+Sept!P19+Oct!P19+Nov!P19+Dec!P19</f>
        <v>3790</v>
      </c>
      <c r="M19" s="169">
        <f>Janvier!T19+Fevrier!R19+Mars!R19+Avril!R19+Mai!R19+Juin!R19+Juillet!R19+Aout!R19+Sept!R19+Oct!R19+Nov!R19+Dec!R19</f>
        <v>0</v>
      </c>
      <c r="N19" s="130">
        <f>Janvier!U19+Fevrier!S19+Mars!S19+Avril!S19+Mai!S19+Juin!S19+Juillet!S19+Aout!S19+Sept!S19+Oct!S19+Nov!S19+Dec!S19</f>
        <v>1055</v>
      </c>
      <c r="O19" s="169">
        <f>Janvier!W19+Fevrier!U19+Mars!U19+Avril!U19+Mai!U19+Juin!U19+Juillet!U19+Aout!U19+Sept!U19+Oct!U19+Nov!U19+Dec!U19</f>
        <v>0</v>
      </c>
      <c r="P19" s="130">
        <f>Janvier!X19+Fevrier!V19+Mars!V19+Avril!V19+Mai!V19+Juin!V19+Juillet!V19+Aout!V19+Sept!V19+Oct!V19+Nov!V19+Dec!V19</f>
        <v>3880</v>
      </c>
      <c r="Q19" s="169">
        <f>Janvier!Z19+Fevrier!X19+Mars!X19+Avril!X19+Mai!X19+Juin!X19+Juillet!X19+Aout!X19+Sept!X19+Oct!X19+Nov!X19+Dec!X19</f>
        <v>0</v>
      </c>
      <c r="R19" s="130">
        <f>Janvier!AA19+Fevrier!Y19+Mars!Y19+Avril!Y19+Mai!Y19+Juin!Y19+Juillet!Y19+Aout!Y19+Sept!Y19+Oct!Y19+Nov!Y19+Dec!Y19</f>
        <v>2810</v>
      </c>
      <c r="S19" s="169">
        <f>Janvier!AC19+Fevrier!AA19+Mars!AA19+Avril!AA19+Mai!AA19+Juin!AA19+Juillet!AA19+Aout!AA19+Sept!AA19+Oct!AA19+Nov!AA19+Dec!AA19</f>
        <v>0</v>
      </c>
      <c r="T19" s="130">
        <f>Janvier!AD19+Fevrier!AB19+Mars!AB19+Avril!AB19+Mai!AB19+Juin!AB19+Juillet!AB19+Aout!AB19+Sept!AB19+Oct!AB19+Nov!AB19+Dec!AB19</f>
        <v>2520</v>
      </c>
      <c r="U19" s="169">
        <f>Janvier!AF19+Fevrier!AD19+Mars!AD19+Avril!AD19+Mai!AD19+Juin!AD19+Juillet!AD19+Aout!AD19+Sept!AD19+Oct!AD19+Nov!AD19+Dec!AD19</f>
        <v>0</v>
      </c>
      <c r="V19" s="130">
        <f>Janvier!AG19+Fevrier!AE19+Mars!AE19+Avril!AE19+Mai!AE19+Juin!AE19+Juillet!AE19+Aout!AE19+Sept!AE19+Oct!AE19+Nov!AE19+Dec!AE19</f>
        <v>3170</v>
      </c>
      <c r="W19" s="169">
        <f>Janvier!AI19+Fevrier!AG19+Mars!AG19+Avril!AG19+Mai!AG19+Juin!AG19+Juillet!AG19+Aout!AG19+Sept!AG19+Oct!AG19+Nov!AG19+Dec!AG19</f>
        <v>0</v>
      </c>
      <c r="X19" s="309">
        <f t="shared" si="0"/>
        <v>0.59950016673598383</v>
      </c>
      <c r="Y19" s="309">
        <f t="shared" si="1"/>
        <v>0.5698867065227432</v>
      </c>
      <c r="Z19" s="309">
        <f t="shared" si="2"/>
        <v>0.57055324068241897</v>
      </c>
      <c r="AA19" s="309">
        <f t="shared" si="3"/>
        <v>0.32996644210445808</v>
      </c>
      <c r="AB19" s="309">
        <f t="shared" si="4"/>
        <v>0.50523289303419805</v>
      </c>
      <c r="AC19" s="309">
        <f t="shared" si="5"/>
        <v>0.4219161230747327</v>
      </c>
      <c r="AD19" s="309">
        <f t="shared" si="6"/>
        <v>0.68895103653393697</v>
      </c>
      <c r="AE19" s="309">
        <f t="shared" si="7"/>
        <v>0.99791361477338292</v>
      </c>
      <c r="AF19" s="309">
        <f t="shared" si="8"/>
        <v>0.8949260886935676</v>
      </c>
      <c r="AG19" s="310">
        <f t="shared" si="9"/>
        <v>1.1257601988724639</v>
      </c>
    </row>
    <row r="20" spans="1:33" ht="15" x14ac:dyDescent="0.3">
      <c r="A20" s="184" t="s">
        <v>62</v>
      </c>
      <c r="B20" s="282">
        <v>3929</v>
      </c>
      <c r="C20" s="298">
        <v>3925</v>
      </c>
      <c r="D20" s="285">
        <f>Janvier!F20+Fevrier!D20+Mars!D20+Avril!D20+Mai!D20+Juin!D20+Juillet!D20+Aout!D20+Sept!D20+Oct!D20+Nov!D20+Dec!D20</f>
        <v>3340</v>
      </c>
      <c r="E20" s="286">
        <f>+Janvier!H20+Fevrier!F20+Mars!F20+Avril!F20+Mai!F20+Juin!F20+Juillet!F20+Aout!F20+Sept!F20+Oct!F20+Nov!F20+Dec!F20</f>
        <v>0</v>
      </c>
      <c r="F20" s="285">
        <f>Janvier!I20+Fevrier!G20+Mars!G20+Avril!G20+Mai!G20+Juin!G20+Juillet!G20+Aout!G20+Sept!G20+Oct!G20+Nov!G20+Dec!G20</f>
        <v>9440</v>
      </c>
      <c r="G20" s="286">
        <f>+Janvier!K20+Fevrier!I20+Mars!I20+Avril!I20+Mai!I20+Juin!I20+Juillet!I20+Aout!I20+Sept!I20+Oct!I20+Nov!I20+Dec!I20</f>
        <v>0</v>
      </c>
      <c r="H20" s="285">
        <f>Janvier!L20+Fevrier!J20+Mars!J20+Avril!J20+Mai!J20+Juin!J20+Juillet!J20+Aout!J20+Sept!J20+Oct!J20+Nov!J20+Dec!J20</f>
        <v>7120</v>
      </c>
      <c r="I20" s="286">
        <f>Janvier!N20+Fevrier!L20+Mars!L20+Avril!L20+Mai!L20+Juin!L20+Juillet!L20+Aout!L20+Sept!L20+Oct!L20+Nov!L20+Dec!L20</f>
        <v>0</v>
      </c>
      <c r="J20" s="285">
        <f>Janvier!O20+Fevrier!M20+Mars!M20+Avril!M20+Mai!M20+Juin!M20+Juillet!M20+Aout!M20+Sept!M20+Oct!M20+Nov!M20+Dec!M20</f>
        <v>7366</v>
      </c>
      <c r="K20" s="286">
        <f>Janvier!Q20+Fevrier!O20+Mars!O20+Avril!O20+Mai!O20+Juin!O20+Juillet!O20+Aout!O20+Sept!O20+Oct!O20+Nov!O20+Dec!O20</f>
        <v>0</v>
      </c>
      <c r="L20" s="285">
        <f>Janvier!R20+Fevrier!P20+Mars!P20+Avril!P20+Mai!P20+Juin!P20+Juillet!P20+Aout!P20+Sept!P20+Oct!P20+Nov!P20+Dec!P20</f>
        <v>3644</v>
      </c>
      <c r="M20" s="286">
        <f>Janvier!T20+Fevrier!R20+Mars!R20+Avril!R20+Mai!R20+Juin!R20+Juillet!R20+Aout!R20+Sept!R20+Oct!R20+Nov!R20+Dec!R20</f>
        <v>0</v>
      </c>
      <c r="N20" s="285">
        <f>Janvier!U20+Fevrier!S20+Mars!S20+Avril!S20+Mai!S20+Juin!S20+Juillet!S20+Aout!S20+Sept!S20+Oct!S20+Nov!S20+Dec!S20</f>
        <v>2410</v>
      </c>
      <c r="O20" s="286">
        <f>Janvier!W20+Fevrier!U20+Mars!U20+Avril!U20+Mai!U20+Juin!U20+Juillet!U20+Aout!U20+Sept!U20+Oct!U20+Nov!U20+Dec!U20</f>
        <v>0</v>
      </c>
      <c r="P20" s="285">
        <f>Janvier!X20+Fevrier!V20+Mars!V20+Avril!V20+Mai!V20+Juin!V20+Juillet!V20+Aout!V20+Sept!V20+Oct!V20+Nov!V20+Dec!V20</f>
        <v>3900</v>
      </c>
      <c r="Q20" s="286">
        <f>Janvier!Z20+Fevrier!X20+Mars!X20+Avril!X20+Mai!X20+Juin!X20+Juillet!X20+Aout!X20+Sept!X20+Oct!X20+Nov!X20+Dec!X20</f>
        <v>0</v>
      </c>
      <c r="R20" s="285">
        <f>Janvier!AA20+Fevrier!Y20+Mars!Y20+Avril!Y20+Mai!Y20+Juin!Y20+Juillet!Y20+Aout!Y20+Sept!Y20+Oct!Y20+Nov!Y20+Dec!Y20</f>
        <v>2940</v>
      </c>
      <c r="S20" s="286">
        <f>Janvier!AC20+Fevrier!AA20+Mars!AA20+Avril!AA20+Mai!AA20+Juin!AA20+Juillet!AA20+Aout!AA20+Sept!AA20+Oct!AA20+Nov!AA20+Dec!AA20</f>
        <v>0</v>
      </c>
      <c r="T20" s="285">
        <f>Janvier!AD20+Fevrier!AB20+Mars!AB20+Avril!AB20+Mai!AB20+Juin!AB20+Juillet!AB20+Aout!AB20+Sept!AB20+Oct!AB20+Nov!AB20+Dec!AB20</f>
        <v>2230</v>
      </c>
      <c r="U20" s="286">
        <f>Janvier!AF20+Fevrier!AD20+Mars!AD20+Avril!AD20+Mai!AD20+Juin!AD20+Juillet!AD20+Aout!AD20+Sept!AD20+Oct!AD20+Nov!AD20+Dec!AD20</f>
        <v>0</v>
      </c>
      <c r="V20" s="285">
        <f>Janvier!AG20+Fevrier!AE20+Mars!AE20+Avril!AE20+Mai!AE20+Juin!AE20+Juillet!AE20+Aout!AE20+Sept!AE20+Oct!AE20+Nov!AE20+Dec!AE20</f>
        <v>3280</v>
      </c>
      <c r="W20" s="286">
        <f>Janvier!AI20+Fevrier!AG20+Mars!AG20+Avril!AG20+Mai!AG20+Juin!AG20+Juillet!AG20+Aout!AG20+Sept!AG20+Oct!AG20+Nov!AG20+Dec!AG20</f>
        <v>0</v>
      </c>
      <c r="X20" s="309">
        <f t="shared" si="0"/>
        <v>0.66517142503219318</v>
      </c>
      <c r="Y20" s="309">
        <f t="shared" si="1"/>
        <v>0.60187576111142982</v>
      </c>
      <c r="Z20" s="309">
        <f t="shared" si="2"/>
        <v>0.60527618914030801</v>
      </c>
      <c r="AA20" s="309">
        <f t="shared" si="3"/>
        <v>0.32252362780012339</v>
      </c>
      <c r="AB20" s="309">
        <f t="shared" si="4"/>
        <v>0.30977899343079807</v>
      </c>
      <c r="AC20" s="309">
        <f t="shared" si="5"/>
        <v>0.61462736621972291</v>
      </c>
      <c r="AD20" s="309">
        <f t="shared" si="6"/>
        <v>0.44161358811040341</v>
      </c>
      <c r="AE20" s="309">
        <f t="shared" si="7"/>
        <v>0.66581740976645432</v>
      </c>
      <c r="AF20" s="309">
        <f t="shared" si="8"/>
        <v>0.5050247699929229</v>
      </c>
      <c r="AG20" s="310">
        <f t="shared" si="9"/>
        <v>0.74281670205237083</v>
      </c>
    </row>
    <row r="21" spans="1:33" ht="15" thickBot="1" x14ac:dyDescent="0.35">
      <c r="A21" s="279" t="s">
        <v>91</v>
      </c>
      <c r="B21" s="296">
        <v>125879</v>
      </c>
      <c r="C21" s="299">
        <v>123834</v>
      </c>
      <c r="D21" s="289">
        <f>Janvier!F21+Fevrier!D21+Mars!D21+Avril!D21+Mai!D21+Juin!D21+Juillet!D21+Aout!D21+Sept!D21+Oct!D21+Nov!D21+Dec!D21</f>
        <v>122000</v>
      </c>
      <c r="E21" s="293">
        <f>+Janvier!H21+Fevrier!F21+Mars!F21+Avril!F21+Mai!F21+Juin!F21+Juillet!F21+Aout!F21+Sept!F21+Oct!F21+Nov!F21+Dec!F21</f>
        <v>0</v>
      </c>
      <c r="F21" s="289">
        <f>Janvier!I21+Fevrier!G21+Mars!G21+Avril!G21+Mai!G21+Juin!G21+Juillet!G21+Aout!G21+Sept!G21+Oct!G21+Nov!G21+Dec!G21</f>
        <v>310500</v>
      </c>
      <c r="G21" s="293">
        <f>+Janvier!K21+Fevrier!I21+Mars!I21+Avril!I21+Mai!I21+Juin!I21+Juillet!I21+Aout!I21+Sept!I21+Oct!I21+Nov!I21+Dec!I21</f>
        <v>0</v>
      </c>
      <c r="H21" s="289">
        <f>Janvier!L21+Fevrier!J21+Mars!J21+Avril!J21+Mai!J21+Juin!J21+Juillet!J21+Aout!J21+Sept!J21+Oct!J21+Nov!J21+Dec!J21</f>
        <v>250200</v>
      </c>
      <c r="I21" s="293">
        <f>Janvier!N21+Fevrier!L21+Mars!L21+Avril!L21+Mai!L21+Juin!L21+Juillet!L21+Aout!L21+Sept!L21+Oct!L21+Nov!L21+Dec!L21</f>
        <v>0</v>
      </c>
      <c r="J21" s="289">
        <f>Janvier!O21+Fevrier!M21+Mars!M21+Avril!M21+Mai!M21+Juin!M21+Juillet!M21+Aout!M21+Sept!M21+Oct!M21+Nov!M21+Dec!M21</f>
        <v>247200</v>
      </c>
      <c r="K21" s="293">
        <f>Janvier!Q21+Fevrier!O21+Mars!O21+Avril!O21+Mai!O21+Juin!O21+Juillet!O21+Aout!O21+Sept!O21+Oct!O21+Nov!O21+Dec!O21</f>
        <v>0</v>
      </c>
      <c r="L21" s="289">
        <f>Janvier!R21+Fevrier!P21+Mars!P21+Avril!P21+Mai!P21+Juin!P21+Juillet!P21+Aout!P21+Sept!P21+Oct!P21+Nov!P21+Dec!P21</f>
        <v>163800</v>
      </c>
      <c r="M21" s="293">
        <f>Janvier!T21+Fevrier!R21+Mars!R21+Avril!R21+Mai!R21+Juin!R21+Juillet!R21+Aout!R21+Sept!R21+Oct!R21+Nov!R21+Dec!R21</f>
        <v>0</v>
      </c>
      <c r="N21" s="289">
        <f>Janvier!U21+Fevrier!S21+Mars!S21+Avril!S21+Mai!S21+Juin!S21+Juillet!S21+Aout!S21+Sept!S21+Oct!S21+Nov!S21+Dec!S21</f>
        <v>81900</v>
      </c>
      <c r="O21" s="293">
        <f>Janvier!W21+Fevrier!U21+Mars!U21+Avril!U21+Mai!U21+Juin!U21+Juillet!U21+Aout!U21+Sept!U21+Oct!U21+Nov!U21+Dec!U21</f>
        <v>0</v>
      </c>
      <c r="P21" s="289">
        <f>Janvier!X21+Fevrier!V21+Mars!V21+Avril!V21+Mai!V21+Juin!V21+Juillet!V21+Aout!V21+Sept!V21+Oct!V21+Nov!V21+Dec!V21</f>
        <v>125000</v>
      </c>
      <c r="Q21" s="293">
        <f>Janvier!Z21+Fevrier!X21+Mars!X21+Avril!X21+Mai!X21+Juin!X21+Juillet!X21+Aout!X21+Sept!X21+Oct!X21+Nov!X21+Dec!X21</f>
        <v>0</v>
      </c>
      <c r="R21" s="289">
        <f>Janvier!AA21+Fevrier!Y21+Mars!Y21+Avril!Y21+Mai!Y21+Juin!Y21+Juillet!Y21+Aout!Y21+Sept!Y21+Oct!Y21+Nov!Y21+Dec!Y21</f>
        <v>94000</v>
      </c>
      <c r="S21" s="293">
        <f>Janvier!AC21+Fevrier!AA21+Mars!AA21+Avril!AA21+Mai!AA21+Juin!AA21+Juillet!AA21+Aout!AA21+Sept!AA21+Oct!AA21+Nov!AA21+Dec!AA21</f>
        <v>0</v>
      </c>
      <c r="T21" s="289">
        <f>Janvier!AD21+Fevrier!AB21+Mars!AB21+Avril!AB21+Mai!AB21+Juin!AB21+Juillet!AB21+Aout!AB21+Sept!AB21+Oct!AB21+Nov!AB21+Dec!AB21</f>
        <v>119900</v>
      </c>
      <c r="U21" s="293">
        <f>Janvier!AF21+Fevrier!AD21+Mars!AD21+Avril!AD21+Mai!AD21+Juin!AD21+Juillet!AD21+Aout!AD21+Sept!AD21+Oct!AD21+Nov!AD21+Dec!AD21</f>
        <v>0</v>
      </c>
      <c r="V21" s="289">
        <f>Janvier!AG21+Fevrier!AE21+Mars!AE21+Avril!AE21+Mai!AE21+Juin!AE21+Juillet!AE21+Aout!AE21+Sept!AE21+Oct!AE21+Nov!AE21+Dec!AE21</f>
        <v>129720</v>
      </c>
      <c r="W21" s="293">
        <f>Janvier!AI21+Fevrier!AG21+Mars!AG21+Avril!AG21+Mai!AG21+Juin!AG21+Juillet!AG21+Aout!AG21+Sept!AG21+Oct!AG21+Nov!AG21+Dec!AG21</f>
        <v>0</v>
      </c>
      <c r="X21" s="309">
        <f t="shared" si="0"/>
        <v>0.75836047984128041</v>
      </c>
      <c r="Y21" s="309">
        <f t="shared" si="1"/>
        <v>0.62747470567616881</v>
      </c>
      <c r="Z21" s="309">
        <f t="shared" si="2"/>
        <v>0.67415639875545863</v>
      </c>
      <c r="AA21" s="309">
        <f t="shared" si="3"/>
        <v>0.33771635713383286</v>
      </c>
      <c r="AB21" s="309">
        <f t="shared" si="4"/>
        <v>0.44135418911328589</v>
      </c>
      <c r="AC21" s="309">
        <f t="shared" si="5"/>
        <v>0.66203128366992892</v>
      </c>
      <c r="AD21" s="309">
        <f t="shared" si="6"/>
        <v>0.44862925816460386</v>
      </c>
      <c r="AE21" s="309">
        <f t="shared" si="7"/>
        <v>0.67473840427956422</v>
      </c>
      <c r="AF21" s="309">
        <f t="shared" si="8"/>
        <v>0.86065036886297608</v>
      </c>
      <c r="AG21" s="310">
        <f t="shared" si="9"/>
        <v>0.93113899790579857</v>
      </c>
    </row>
    <row r="22" spans="1:33" x14ac:dyDescent="0.3">
      <c r="A22" s="184" t="s">
        <v>14</v>
      </c>
      <c r="B22" s="277">
        <v>14556</v>
      </c>
      <c r="C22" s="278">
        <v>14320</v>
      </c>
      <c r="D22" s="252">
        <f>Janvier!F22+Fevrier!D22+Mars!D22+Avril!D22+Mai!D22+Juin!D22+Juillet!D22+Aout!D22+Sept!D22+Oct!D22+Nov!D22+Dec!D22</f>
        <v>13780</v>
      </c>
      <c r="E22" s="150">
        <f>+Janvier!H22+Fevrier!F22+Mars!F22+Avril!F22+Mai!F22+Juin!F22+Juillet!F22+Aout!F22+Sept!F22+Oct!F22+Nov!F22+Dec!F22</f>
        <v>0</v>
      </c>
      <c r="F22" s="252">
        <f>Janvier!I22+Fevrier!G22+Mars!G22+Avril!G22+Mai!G22+Juin!G22+Juillet!G22+Aout!G22+Sept!G22+Oct!G22+Nov!G22+Dec!G22</f>
        <v>29100</v>
      </c>
      <c r="G22" s="150">
        <f>+Janvier!K22+Fevrier!I22+Mars!I22+Avril!I22+Mai!I22+Juin!I22+Juillet!I22+Aout!I22+Sept!I22+Oct!I22+Nov!I22+Dec!I22</f>
        <v>0</v>
      </c>
      <c r="H22" s="252">
        <f>Janvier!L22+Fevrier!J22+Mars!J22+Avril!J22+Mai!J22+Juin!J22+Juillet!J22+Aout!J22+Sept!J22+Oct!J22+Nov!J22+Dec!J22</f>
        <v>26470</v>
      </c>
      <c r="I22" s="150">
        <f>Janvier!N22+Fevrier!L22+Mars!L22+Avril!L22+Mai!L22+Juin!L22+Juillet!L22+Aout!L22+Sept!L22+Oct!L22+Nov!L22+Dec!L22</f>
        <v>0</v>
      </c>
      <c r="J22" s="252">
        <f>Janvier!O22+Fevrier!M22+Mars!M22+Avril!M22+Mai!M22+Juin!M22+Juillet!M22+Aout!M22+Sept!M22+Oct!M22+Nov!M22+Dec!M22</f>
        <v>24406</v>
      </c>
      <c r="K22" s="150">
        <f>Janvier!Q22+Fevrier!O22+Mars!O22+Avril!O22+Mai!O22+Juin!O22+Juillet!O22+Aout!O22+Sept!O22+Oct!O22+Nov!O22+Dec!O22</f>
        <v>0</v>
      </c>
      <c r="L22" s="252">
        <f>Janvier!R22+Fevrier!P22+Mars!P22+Avril!P22+Mai!P22+Juin!P22+Juillet!P22+Aout!P22+Sept!P22+Oct!P22+Nov!P22+Dec!P22</f>
        <v>16857</v>
      </c>
      <c r="M22" s="150">
        <f>Janvier!T22+Fevrier!R22+Mars!R22+Avril!R22+Mai!R22+Juin!R22+Juillet!R22+Aout!R22+Sept!R22+Oct!R22+Nov!R22+Dec!R22</f>
        <v>0</v>
      </c>
      <c r="N22" s="252">
        <f>Janvier!U22+Fevrier!S22+Mars!S22+Avril!S22+Mai!S22+Juin!S22+Juillet!S22+Aout!S22+Sept!S22+Oct!S22+Nov!S22+Dec!S22</f>
        <v>8520</v>
      </c>
      <c r="O22" s="150">
        <f>Janvier!W22+Fevrier!U22+Mars!U22+Avril!U22+Mai!U22+Juin!U22+Juillet!U22+Aout!U22+Sept!U22+Oct!U22+Nov!U22+Dec!U22</f>
        <v>0</v>
      </c>
      <c r="P22" s="252">
        <f>Janvier!X22+Fevrier!V22+Mars!V22+Avril!V22+Mai!V22+Juin!V22+Juillet!V22+Aout!V22+Sept!V22+Oct!V22+Nov!V22+Dec!V22</f>
        <v>15160</v>
      </c>
      <c r="Q22" s="150">
        <f>Janvier!Z22+Fevrier!X22+Mars!X22+Avril!X22+Mai!X22+Juin!X22+Juillet!X22+Aout!X22+Sept!X22+Oct!X22+Nov!X22+Dec!X22</f>
        <v>0</v>
      </c>
      <c r="R22" s="252">
        <f>Janvier!AA22+Fevrier!Y22+Mars!Y22+Avril!Y22+Mai!Y22+Juin!Y22+Juillet!Y22+Aout!Y22+Sept!Y22+Oct!Y22+Nov!Y22+Dec!Y22</f>
        <v>7730</v>
      </c>
      <c r="S22" s="150">
        <f>Janvier!AC22+Fevrier!AA22+Mars!AA22+Avril!AA22+Mai!AA22+Juin!AA22+Juillet!AA22+Aout!AA22+Sept!AA22+Oct!AA22+Nov!AA22+Dec!AA22</f>
        <v>0</v>
      </c>
      <c r="T22" s="252">
        <f>Janvier!AD22+Fevrier!AB22+Mars!AB22+Avril!AB22+Mai!AB22+Juin!AB22+Juillet!AB22+Aout!AB22+Sept!AB22+Oct!AB22+Nov!AB22+Dec!AB22</f>
        <v>10510</v>
      </c>
      <c r="U22" s="150">
        <f>Janvier!AF22+Fevrier!AD22+Mars!AD22+Avril!AD22+Mai!AD22+Juin!AD22+Juillet!AD22+Aout!AD22+Sept!AD22+Oct!AD22+Nov!AD22+Dec!AD22</f>
        <v>0</v>
      </c>
      <c r="V22" s="252">
        <f>Janvier!AG22+Fevrier!AE22+Mars!AE22+Avril!AE22+Mai!AE22+Juin!AE22+Juillet!AE22+Aout!AE22+Sept!AE22+Oct!AE22+Nov!AE22+Dec!AE22</f>
        <v>13360</v>
      </c>
      <c r="W22" s="150">
        <f>Janvier!AI22+Fevrier!AG22+Mars!AG22+Avril!AG22+Mai!AG22+Juin!AG22+Juillet!AG22+Aout!AG22+Sept!AG22+Oct!AG22+Nov!AG22+Dec!AG22</f>
        <v>0</v>
      </c>
      <c r="X22" s="309">
        <f t="shared" si="0"/>
        <v>0.74075794266684047</v>
      </c>
      <c r="Y22" s="309">
        <f t="shared" si="1"/>
        <v>0.50853926552250572</v>
      </c>
      <c r="Z22" s="309">
        <f t="shared" si="2"/>
        <v>0.61677133371732995</v>
      </c>
      <c r="AA22" s="309">
        <f t="shared" si="3"/>
        <v>0.36188500773712051</v>
      </c>
      <c r="AB22" s="309">
        <f t="shared" si="4"/>
        <v>0.39278104920563023</v>
      </c>
      <c r="AC22" s="309">
        <f t="shared" si="5"/>
        <v>0.59556763467377982</v>
      </c>
      <c r="AD22" s="309">
        <f t="shared" si="6"/>
        <v>0.47051520794537555</v>
      </c>
      <c r="AE22" s="309">
        <f t="shared" si="7"/>
        <v>0.47982619490999379</v>
      </c>
      <c r="AF22" s="309">
        <f t="shared" si="8"/>
        <v>0.65238981998758538</v>
      </c>
      <c r="AG22" s="310">
        <f t="shared" si="9"/>
        <v>0.82929857231533211</v>
      </c>
    </row>
    <row r="23" spans="1:33" x14ac:dyDescent="0.3">
      <c r="A23" s="184" t="s">
        <v>15</v>
      </c>
      <c r="B23" s="212">
        <v>6317</v>
      </c>
      <c r="C23" s="273">
        <v>6214</v>
      </c>
      <c r="D23" s="104">
        <f>Janvier!F23+Fevrier!D23+Mars!D23+Avril!D23+Mai!D23+Juin!D23+Juillet!D23+Aout!D23+Sept!D23+Oct!D23+Nov!D23+Dec!D23</f>
        <v>7020</v>
      </c>
      <c r="E23" s="97">
        <f>+Janvier!H23+Fevrier!F23+Mars!F23+Avril!F23+Mai!F23+Juin!F23+Juillet!F23+Aout!F23+Sept!F23+Oct!F23+Nov!F23+Dec!F23</f>
        <v>0</v>
      </c>
      <c r="F23" s="104">
        <f>Janvier!I23+Fevrier!G23+Mars!G23+Avril!G23+Mai!G23+Juin!G23+Juillet!G23+Aout!G23+Sept!G23+Oct!G23+Nov!G23+Dec!G23</f>
        <v>16380</v>
      </c>
      <c r="G23" s="97">
        <f>+Janvier!K23+Fevrier!I23+Mars!I23+Avril!I23+Mai!I23+Juin!I23+Juillet!I23+Aout!I23+Sept!I23+Oct!I23+Nov!I23+Dec!I23</f>
        <v>0</v>
      </c>
      <c r="H23" s="104">
        <f>Janvier!L23+Fevrier!J23+Mars!J23+Avril!J23+Mai!J23+Juin!J23+Juillet!J23+Aout!J23+Sept!J23+Oct!J23+Nov!J23+Dec!J23</f>
        <v>13190</v>
      </c>
      <c r="I23" s="97">
        <f>Janvier!N23+Fevrier!L23+Mars!L23+Avril!L23+Mai!L23+Juin!L23+Juillet!L23+Aout!L23+Sept!L23+Oct!L23+Nov!L23+Dec!L23</f>
        <v>0</v>
      </c>
      <c r="J23" s="104">
        <f>Janvier!O23+Fevrier!M23+Mars!M23+Avril!M23+Mai!M23+Juin!M23+Juillet!M23+Aout!M23+Sept!M23+Oct!M23+Nov!M23+Dec!M23</f>
        <v>13022</v>
      </c>
      <c r="K23" s="97">
        <f>Janvier!Q23+Fevrier!O23+Mars!O23+Avril!O23+Mai!O23+Juin!O23+Juillet!O23+Aout!O23+Sept!O23+Oct!O23+Nov!O23+Dec!O23</f>
        <v>0</v>
      </c>
      <c r="L23" s="104">
        <f>Janvier!R23+Fevrier!P23+Mars!P23+Avril!P23+Mai!P23+Juin!P23+Juillet!P23+Aout!P23+Sept!P23+Oct!P23+Nov!P23+Dec!P23</f>
        <v>8358</v>
      </c>
      <c r="M23" s="97">
        <f>Janvier!T23+Fevrier!R23+Mars!R23+Avril!R23+Mai!R23+Juin!R23+Juillet!R23+Aout!R23+Sept!R23+Oct!R23+Nov!R23+Dec!R23</f>
        <v>0</v>
      </c>
      <c r="N23" s="104">
        <f>Janvier!U23+Fevrier!S23+Mars!S23+Avril!S23+Mai!S23+Juin!S23+Juillet!S23+Aout!S23+Sept!S23+Oct!S23+Nov!S23+Dec!S23</f>
        <v>4510</v>
      </c>
      <c r="O23" s="97">
        <f>Janvier!W23+Fevrier!U23+Mars!U23+Avril!U23+Mai!U23+Juin!U23+Juillet!U23+Aout!U23+Sept!U23+Oct!U23+Nov!U23+Dec!U23</f>
        <v>0</v>
      </c>
      <c r="P23" s="104">
        <f>Janvier!X23+Fevrier!V23+Mars!V23+Avril!V23+Mai!V23+Juin!V23+Juillet!V23+Aout!V23+Sept!V23+Oct!V23+Nov!V23+Dec!V23</f>
        <v>8060</v>
      </c>
      <c r="Q23" s="97">
        <f>Janvier!Z23+Fevrier!X23+Mars!X23+Avril!X23+Mai!X23+Juin!X23+Juillet!X23+Aout!X23+Sept!X23+Oct!X23+Nov!X23+Dec!X23</f>
        <v>0</v>
      </c>
      <c r="R23" s="104">
        <f>Janvier!AA23+Fevrier!Y23+Mars!Y23+Avril!Y23+Mai!Y23+Juin!Y23+Juillet!Y23+Aout!Y23+Sept!Y23+Oct!Y23+Nov!Y23+Dec!Y23</f>
        <v>5250</v>
      </c>
      <c r="S23" s="97">
        <f>Janvier!AC23+Fevrier!AA23+Mars!AA23+Avril!AA23+Mai!AA23+Juin!AA23+Juillet!AA23+Aout!AA23+Sept!AA23+Oct!AA23+Nov!AA23+Dec!AA23</f>
        <v>0</v>
      </c>
      <c r="T23" s="104">
        <f>Janvier!AD23+Fevrier!AB23+Mars!AB23+Avril!AB23+Mai!AB23+Juin!AB23+Juillet!AB23+Aout!AB23+Sept!AB23+Oct!AB23+Nov!AB23+Dec!AB23</f>
        <v>5350</v>
      </c>
      <c r="U23" s="97">
        <f>Janvier!AF23+Fevrier!AD23+Mars!AD23+Avril!AD23+Mai!AD23+Juin!AD23+Juillet!AD23+Aout!AD23+Sept!AD23+Oct!AD23+Nov!AD23+Dec!AD23</f>
        <v>0</v>
      </c>
      <c r="V23" s="104">
        <f>Janvier!AG23+Fevrier!AE23+Mars!AE23+Avril!AE23+Mai!AE23+Juin!AE23+Juillet!AE23+Aout!AE23+Sept!AE23+Oct!AE23+Nov!AE23+Dec!AE23</f>
        <v>7720</v>
      </c>
      <c r="W23" s="97">
        <f>Janvier!AI23+Fevrier!AG23+Mars!AG23+Avril!AG23+Mai!AG23+Juin!AG23+Juillet!AG23+Aout!AG23+Sept!AG23+Oct!AG23+Nov!AG23+Dec!AG23</f>
        <v>0</v>
      </c>
      <c r="X23" s="309">
        <f t="shared" si="0"/>
        <v>0.86955164579371114</v>
      </c>
      <c r="Y23" s="309">
        <f t="shared" si="1"/>
        <v>0.65965547137095248</v>
      </c>
      <c r="Z23" s="309">
        <f t="shared" si="2"/>
        <v>0.70825035957532456</v>
      </c>
      <c r="AA23" s="309">
        <f t="shared" si="3"/>
        <v>0.33797171973591361</v>
      </c>
      <c r="AB23" s="309">
        <f t="shared" si="4"/>
        <v>0.4487912437703232</v>
      </c>
      <c r="AC23" s="309">
        <f t="shared" si="5"/>
        <v>0.72650700265763013</v>
      </c>
      <c r="AD23" s="309">
        <f t="shared" si="6"/>
        <v>0.57647605764760579</v>
      </c>
      <c r="AE23" s="309">
        <f t="shared" si="7"/>
        <v>0.75099238279154601</v>
      </c>
      <c r="AF23" s="309">
        <f t="shared" si="8"/>
        <v>0.76529699960662301</v>
      </c>
      <c r="AG23" s="310">
        <f t="shared" si="9"/>
        <v>1.1043164181239495</v>
      </c>
    </row>
    <row r="24" spans="1:33" ht="14.25" customHeight="1" x14ac:dyDescent="0.3">
      <c r="A24" s="184" t="s">
        <v>16</v>
      </c>
      <c r="B24" s="212">
        <v>28385</v>
      </c>
      <c r="C24" s="273">
        <v>27924</v>
      </c>
      <c r="D24" s="104">
        <f>Janvier!F24+Fevrier!D24+Mars!D24+Avril!D24+Mai!D24+Juin!D24+Juillet!D24+Aout!D24+Sept!D24+Oct!D24+Nov!D24+Dec!D24</f>
        <v>18520</v>
      </c>
      <c r="E24" s="97">
        <f>+Janvier!H24+Fevrier!F24+Mars!F24+Avril!F24+Mai!F24+Juin!F24+Juillet!F24+Aout!F24+Sept!F24+Oct!F24+Nov!F24+Dec!F24</f>
        <v>0</v>
      </c>
      <c r="F24" s="104">
        <f>Janvier!I24+Fevrier!G24+Mars!G24+Avril!G24+Mai!G24+Juin!G24+Juillet!G24+Aout!G24+Sept!G24+Oct!G24+Nov!G24+Dec!G24</f>
        <v>45360</v>
      </c>
      <c r="G24" s="97">
        <f>+Janvier!K24+Fevrier!I24+Mars!I24+Avril!I24+Mai!I24+Juin!I24+Juillet!I24+Aout!I24+Sept!I24+Oct!I24+Nov!I24+Dec!I24</f>
        <v>0</v>
      </c>
      <c r="H24" s="104">
        <f>Janvier!L24+Fevrier!J24+Mars!J24+Avril!J24+Mai!J24+Juin!J24+Juillet!J24+Aout!J24+Sept!J24+Oct!J24+Nov!J24+Dec!J24</f>
        <v>34980</v>
      </c>
      <c r="I24" s="97">
        <f>Janvier!N24+Fevrier!L24+Mars!L24+Avril!L24+Mai!L24+Juin!L24+Juillet!L24+Aout!L24+Sept!L24+Oct!L24+Nov!L24+Dec!L24</f>
        <v>0</v>
      </c>
      <c r="J24" s="104">
        <f>Janvier!O24+Fevrier!M24+Mars!M24+Avril!M24+Mai!M24+Juin!M24+Juillet!M24+Aout!M24+Sept!M24+Oct!M24+Nov!M24+Dec!M24</f>
        <v>36746</v>
      </c>
      <c r="K24" s="97">
        <f>Janvier!Q24+Fevrier!O24+Mars!O24+Avril!O24+Mai!O24+Juin!O24+Juillet!O24+Aout!O24+Sept!O24+Oct!O24+Nov!O24+Dec!O24</f>
        <v>0</v>
      </c>
      <c r="L24" s="104">
        <f>Janvier!R24+Fevrier!P24+Mars!P24+Avril!P24+Mai!P24+Juin!P24+Juillet!P24+Aout!P24+Sept!P24+Oct!P24+Nov!P24+Dec!P24</f>
        <v>21461</v>
      </c>
      <c r="M24" s="97">
        <f>Janvier!T24+Fevrier!R24+Mars!R24+Avril!R24+Mai!R24+Juin!R24+Juillet!R24+Aout!R24+Sept!R24+Oct!R24+Nov!R24+Dec!R24</f>
        <v>0</v>
      </c>
      <c r="N24" s="104">
        <f>Janvier!U24+Fevrier!S24+Mars!S24+Avril!S24+Mai!S24+Juin!S24+Juillet!S24+Aout!S24+Sept!S24+Oct!S24+Nov!S24+Dec!S24</f>
        <v>10820</v>
      </c>
      <c r="O24" s="97">
        <f>Janvier!W24+Fevrier!U24+Mars!U24+Avril!U24+Mai!U24+Juin!U24+Juillet!U24+Aout!U24+Sept!U24+Oct!U24+Nov!U24+Dec!U24</f>
        <v>0</v>
      </c>
      <c r="P24" s="104">
        <f>Janvier!X24+Fevrier!V24+Mars!V24+Avril!V24+Mai!V24+Juin!V24+Juillet!V24+Aout!V24+Sept!V24+Oct!V24+Nov!V24+Dec!V24</f>
        <v>20830</v>
      </c>
      <c r="Q24" s="97">
        <f>Janvier!Z24+Fevrier!X24+Mars!X24+Avril!X24+Mai!X24+Juin!X24+Juillet!X24+Aout!X24+Sept!X24+Oct!X24+Nov!X24+Dec!X24</f>
        <v>0</v>
      </c>
      <c r="R24" s="104">
        <f>Janvier!AA24+Fevrier!Y24+Mars!Y24+Avril!Y24+Mai!Y24+Juin!Y24+Juillet!Y24+Aout!Y24+Sept!Y24+Oct!Y24+Nov!Y24+Dec!Y24</f>
        <v>11560</v>
      </c>
      <c r="S24" s="97">
        <f>Janvier!AC24+Fevrier!AA24+Mars!AA24+Avril!AA24+Mai!AA24+Juin!AA24+Juillet!AA24+Aout!AA24+Sept!AA24+Oct!AA24+Nov!AA24+Dec!AA24</f>
        <v>0</v>
      </c>
      <c r="T24" s="104">
        <f>Janvier!AD24+Fevrier!AB24+Mars!AB24+Avril!AB24+Mai!AB24+Juin!AB24+Juillet!AB24+Aout!AB24+Sept!AB24+Oct!AB24+Nov!AB24+Dec!AB24</f>
        <v>12960</v>
      </c>
      <c r="U24" s="97">
        <f>Janvier!AF24+Fevrier!AD24+Mars!AD24+Avril!AD24+Mai!AD24+Juin!AD24+Juillet!AD24+Aout!AD24+Sept!AD24+Oct!AD24+Nov!AD24+Dec!AD24</f>
        <v>0</v>
      </c>
      <c r="V24" s="104">
        <f>Janvier!AG24+Fevrier!AE24+Mars!AE24+Avril!AE24+Mai!AE24+Juin!AE24+Juillet!AE24+Aout!AE24+Sept!AE24+Oct!AE24+Nov!AE24+Dec!AE24</f>
        <v>21910</v>
      </c>
      <c r="W24" s="97">
        <f>Janvier!AI24+Fevrier!AG24+Mars!AG24+Avril!AG24+Mai!AG24+Juin!AG24+Juillet!AG24+Aout!AG24+Sept!AG24+Oct!AG24+Nov!AG24+Dec!AG24</f>
        <v>0</v>
      </c>
      <c r="X24" s="309">
        <f t="shared" si="0"/>
        <v>0.51052995600676265</v>
      </c>
      <c r="Y24" s="309">
        <f t="shared" si="1"/>
        <v>0.40650878639705451</v>
      </c>
      <c r="Z24" s="309">
        <f t="shared" si="2"/>
        <v>0.41797993380861154</v>
      </c>
      <c r="AA24" s="309">
        <f t="shared" si="3"/>
        <v>0.31763108016305636</v>
      </c>
      <c r="AB24" s="309">
        <f t="shared" si="4"/>
        <v>0.25643989020773622</v>
      </c>
      <c r="AC24" s="309">
        <f t="shared" si="5"/>
        <v>0.38786817185327421</v>
      </c>
      <c r="AD24" s="309">
        <f t="shared" si="6"/>
        <v>0.33153480080854381</v>
      </c>
      <c r="AE24" s="309">
        <f t="shared" si="7"/>
        <v>0.36798293781534003</v>
      </c>
      <c r="AF24" s="309">
        <f t="shared" si="8"/>
        <v>0.4125483455092393</v>
      </c>
      <c r="AG24" s="310">
        <f t="shared" si="9"/>
        <v>0.69744863040952421</v>
      </c>
    </row>
    <row r="25" spans="1:33" ht="14.25" customHeight="1" x14ac:dyDescent="0.3">
      <c r="A25" s="184" t="s">
        <v>17</v>
      </c>
      <c r="B25" s="212">
        <v>29916</v>
      </c>
      <c r="C25" s="273">
        <v>29430</v>
      </c>
      <c r="D25" s="104">
        <f>Janvier!F25+Fevrier!D25+Mars!D25+Avril!D25+Mai!D25+Juin!D25+Juillet!D25+Aout!D25+Sept!D25+Oct!D25+Nov!D25+Dec!D25</f>
        <v>23380</v>
      </c>
      <c r="E25" s="97">
        <f>+Janvier!H25+Fevrier!F25+Mars!F25+Avril!F25+Mai!F25+Juin!F25+Juillet!F25+Aout!F25+Sept!F25+Oct!F25+Nov!F25+Dec!F25</f>
        <v>0</v>
      </c>
      <c r="F25" s="104">
        <f>Janvier!I25+Fevrier!G25+Mars!G25+Avril!G25+Mai!G25+Juin!G25+Juillet!G25+Aout!G25+Sept!G25+Oct!G25+Nov!G25+Dec!G25</f>
        <v>58240</v>
      </c>
      <c r="G25" s="97">
        <f>+Janvier!K25+Fevrier!I25+Mars!I25+Avril!I25+Mai!I25+Juin!I25+Juillet!I25+Aout!I25+Sept!I25+Oct!I25+Nov!I25+Dec!I25</f>
        <v>0</v>
      </c>
      <c r="H25" s="104">
        <f>Janvier!L25+Fevrier!J25+Mars!J25+Avril!J25+Mai!J25+Juin!J25+Juillet!J25+Aout!J25+Sept!J25+Oct!J25+Nov!J25+Dec!J25</f>
        <v>48600</v>
      </c>
      <c r="I25" s="97">
        <f>Janvier!N25+Fevrier!L25+Mars!L25+Avril!L25+Mai!L25+Juin!L25+Juillet!L25+Aout!L25+Sept!L25+Oct!L25+Nov!L25+Dec!L25</f>
        <v>0</v>
      </c>
      <c r="J25" s="104">
        <f>Janvier!O25+Fevrier!M25+Mars!M25+Avril!M25+Mai!M25+Juin!M25+Juillet!M25+Aout!M25+Sept!M25+Oct!M25+Nov!M25+Dec!M25</f>
        <v>45206</v>
      </c>
      <c r="K25" s="97">
        <f>Janvier!Q25+Fevrier!O25+Mars!O25+Avril!O25+Mai!O25+Juin!O25+Juillet!O25+Aout!O25+Sept!O25+Oct!O25+Nov!O25+Dec!O25</f>
        <v>0</v>
      </c>
      <c r="L25" s="104">
        <f>Janvier!R25+Fevrier!P25+Mars!P25+Avril!P25+Mai!P25+Juin!P25+Juillet!P25+Aout!P25+Sept!P25+Oct!P25+Nov!P25+Dec!P25</f>
        <v>29587</v>
      </c>
      <c r="M25" s="97">
        <f>Janvier!T25+Fevrier!R25+Mars!R25+Avril!R25+Mai!R25+Juin!R25+Juillet!R25+Aout!R25+Sept!R25+Oct!R25+Nov!R25+Dec!R25</f>
        <v>0</v>
      </c>
      <c r="N25" s="104">
        <f>Janvier!U25+Fevrier!S25+Mars!S25+Avril!S25+Mai!S25+Juin!S25+Juillet!S25+Aout!S25+Sept!S25+Oct!S25+Nov!S25+Dec!S25</f>
        <v>15750</v>
      </c>
      <c r="O25" s="97">
        <f>Janvier!W25+Fevrier!U25+Mars!U25+Avril!U25+Mai!U25+Juin!U25+Juillet!U25+Aout!U25+Sept!U25+Oct!U25+Nov!U25+Dec!U25</f>
        <v>0</v>
      </c>
      <c r="P25" s="104">
        <f>Janvier!X25+Fevrier!V25+Mars!V25+Avril!V25+Mai!V25+Juin!V25+Juillet!V25+Aout!V25+Sept!V25+Oct!V25+Nov!V25+Dec!V25</f>
        <v>26230</v>
      </c>
      <c r="Q25" s="97">
        <f>Janvier!Z25+Fevrier!X25+Mars!X25+Avril!X25+Mai!X25+Juin!X25+Juillet!X25+Aout!X25+Sept!X25+Oct!X25+Nov!X25+Dec!X25</f>
        <v>0</v>
      </c>
      <c r="R25" s="104">
        <f>Janvier!AA25+Fevrier!Y25+Mars!Y25+Avril!Y25+Mai!Y25+Juin!Y25+Juillet!Y25+Aout!Y25+Sept!Y25+Oct!Y25+Nov!Y25+Dec!Y25</f>
        <v>17860</v>
      </c>
      <c r="S25" s="97">
        <f>Janvier!AC25+Fevrier!AA25+Mars!AA25+Avril!AA25+Mai!AA25+Juin!AA25+Juillet!AA25+Aout!AA25+Sept!AA25+Oct!AA25+Nov!AA25+Dec!AA25</f>
        <v>0</v>
      </c>
      <c r="T25" s="104">
        <f>Janvier!AD25+Fevrier!AB25+Mars!AB25+Avril!AB25+Mai!AB25+Juin!AB25+Juillet!AB25+Aout!AB25+Sept!AB25+Oct!AB25+Nov!AB25+Dec!AB25</f>
        <v>15720</v>
      </c>
      <c r="U25" s="97">
        <f>Janvier!AF25+Fevrier!AD25+Mars!AD25+Avril!AD25+Mai!AD25+Juin!AD25+Juillet!AD25+Aout!AD25+Sept!AD25+Oct!AD25+Nov!AD25+Dec!AD25</f>
        <v>0</v>
      </c>
      <c r="V25" s="104">
        <f>Janvier!AG25+Fevrier!AE25+Mars!AE25+Avril!AE25+Mai!AE25+Juin!AE25+Juillet!AE25+Aout!AE25+Sept!AE25+Oct!AE25+Nov!AE25+Dec!AE25</f>
        <v>27760</v>
      </c>
      <c r="W25" s="97">
        <f>Janvier!AI25+Fevrier!AG25+Mars!AG25+Avril!AG25+Mai!AG25+Juin!AG25+Juillet!AG25+Aout!AG25+Sept!AG25+Oct!AG25+Nov!AG25+Dec!AG25</f>
        <v>0</v>
      </c>
      <c r="X25" s="309">
        <f t="shared" si="0"/>
        <v>0.61151924397180124</v>
      </c>
      <c r="Y25" s="309">
        <f t="shared" si="1"/>
        <v>0.49522849386933648</v>
      </c>
      <c r="Z25" s="309">
        <f t="shared" si="2"/>
        <v>0.55100972532165193</v>
      </c>
      <c r="AA25" s="309">
        <f t="shared" si="3"/>
        <v>0.35871822802761172</v>
      </c>
      <c r="AB25" s="309">
        <f t="shared" si="4"/>
        <v>0.33544701117472664</v>
      </c>
      <c r="AC25" s="309">
        <f t="shared" si="5"/>
        <v>0.53570389961827269</v>
      </c>
      <c r="AD25" s="309">
        <f t="shared" si="6"/>
        <v>0.39611885075697512</v>
      </c>
      <c r="AE25" s="309">
        <f t="shared" si="7"/>
        <v>0.53943443953637638</v>
      </c>
      <c r="AF25" s="309">
        <f t="shared" si="8"/>
        <v>0.47479895797938609</v>
      </c>
      <c r="AG25" s="310">
        <f t="shared" si="9"/>
        <v>0.83844905047759277</v>
      </c>
    </row>
    <row r="26" spans="1:33" ht="14.25" customHeight="1" x14ac:dyDescent="0.3">
      <c r="A26" s="184" t="s">
        <v>18</v>
      </c>
      <c r="B26" s="212">
        <v>5951</v>
      </c>
      <c r="C26" s="273">
        <v>5854</v>
      </c>
      <c r="D26" s="104">
        <f>Janvier!F26+Fevrier!D26+Mars!D26+Avril!D26+Mai!D26+Juin!D26+Juillet!D26+Aout!D26+Sept!D26+Oct!D26+Nov!D26+Dec!D26</f>
        <v>5680</v>
      </c>
      <c r="E26" s="97">
        <f>+Janvier!H26+Fevrier!F26+Mars!F26+Avril!F26+Mai!F26+Juin!F26+Juillet!F26+Aout!F26+Sept!F26+Oct!F26+Nov!F26+Dec!F26</f>
        <v>0</v>
      </c>
      <c r="F26" s="104">
        <f>Janvier!I26+Fevrier!G26+Mars!G26+Avril!G26+Mai!G26+Juin!G26+Juillet!G26+Aout!G26+Sept!G26+Oct!G26+Nov!G26+Dec!G26</f>
        <v>14480</v>
      </c>
      <c r="G26" s="97">
        <f>+Janvier!K26+Fevrier!I26+Mars!I26+Avril!I26+Mai!I26+Juin!I26+Juillet!I26+Aout!I26+Sept!I26+Oct!I26+Nov!I26+Dec!I26</f>
        <v>0</v>
      </c>
      <c r="H26" s="104">
        <f>Janvier!L26+Fevrier!J26+Mars!J26+Avril!J26+Mai!J26+Juin!J26+Juillet!J26+Aout!J26+Sept!J26+Oct!J26+Nov!J26+Dec!J26</f>
        <v>9880</v>
      </c>
      <c r="I26" s="97">
        <f>Janvier!N26+Fevrier!L26+Mars!L26+Avril!L26+Mai!L26+Juin!L26+Juillet!L26+Aout!L26+Sept!L26+Oct!L26+Nov!L26+Dec!L26</f>
        <v>0</v>
      </c>
      <c r="J26" s="104">
        <f>Janvier!O26+Fevrier!M26+Mars!M26+Avril!M26+Mai!M26+Juin!M26+Juillet!M26+Aout!M26+Sept!M26+Oct!M26+Nov!M26+Dec!M26</f>
        <v>11148</v>
      </c>
      <c r="K26" s="97">
        <f>Janvier!Q26+Fevrier!O26+Mars!O26+Avril!O26+Mai!O26+Juin!O26+Juillet!O26+Aout!O26+Sept!O26+Oct!O26+Nov!O26+Dec!O26</f>
        <v>0</v>
      </c>
      <c r="L26" s="104">
        <f>Janvier!R26+Fevrier!P26+Mars!P26+Avril!P26+Mai!P26+Juin!P26+Juillet!P26+Aout!P26+Sept!P26+Oct!P26+Nov!P26+Dec!P26</f>
        <v>7406</v>
      </c>
      <c r="M26" s="97">
        <f>Janvier!T26+Fevrier!R26+Mars!R26+Avril!R26+Mai!R26+Juin!R26+Juillet!R26+Aout!R26+Sept!R26+Oct!R26+Nov!R26+Dec!R26</f>
        <v>0</v>
      </c>
      <c r="N26" s="104">
        <f>Janvier!U26+Fevrier!S26+Mars!S26+Avril!S26+Mai!S26+Juin!S26+Juillet!S26+Aout!S26+Sept!S26+Oct!S26+Nov!S26+Dec!S26</f>
        <v>4130</v>
      </c>
      <c r="O26" s="97">
        <f>Janvier!W26+Fevrier!U26+Mars!U26+Avril!U26+Mai!U26+Juin!U26+Juillet!U26+Aout!U26+Sept!U26+Oct!U26+Nov!U26+Dec!U26</f>
        <v>0</v>
      </c>
      <c r="P26" s="104">
        <f>Janvier!X26+Fevrier!V26+Mars!V26+Avril!V26+Mai!V26+Juin!V26+Juillet!V26+Aout!V26+Sept!V26+Oct!V26+Nov!V26+Dec!V26</f>
        <v>6830</v>
      </c>
      <c r="Q26" s="97">
        <f>Janvier!Z26+Fevrier!X26+Mars!X26+Avril!X26+Mai!X26+Juin!X26+Juillet!X26+Aout!X26+Sept!X26+Oct!X26+Nov!X26+Dec!X26</f>
        <v>0</v>
      </c>
      <c r="R26" s="104">
        <f>Janvier!AA26+Fevrier!Y26+Mars!Y26+Avril!Y26+Mai!Y26+Juin!Y26+Juillet!Y26+Aout!Y26+Sept!Y26+Oct!Y26+Nov!Y26+Dec!Y26</f>
        <v>4370</v>
      </c>
      <c r="S26" s="97">
        <f>Janvier!AC26+Fevrier!AA26+Mars!AA26+Avril!AA26+Mai!AA26+Juin!AA26+Juillet!AA26+Aout!AA26+Sept!AA26+Oct!AA26+Nov!AA26+Dec!AA26</f>
        <v>0</v>
      </c>
      <c r="T26" s="104">
        <f>Janvier!AD26+Fevrier!AB26+Mars!AB26+Avril!AB26+Mai!AB26+Juin!AB26+Juillet!AB26+Aout!AB26+Sept!AB26+Oct!AB26+Nov!AB26+Dec!AB26</f>
        <v>4350</v>
      </c>
      <c r="U26" s="97">
        <f>Janvier!AF26+Fevrier!AD26+Mars!AD26+Avril!AD26+Mai!AD26+Juin!AD26+Juillet!AD26+Aout!AD26+Sept!AD26+Oct!AD26+Nov!AD26+Dec!AD26</f>
        <v>0</v>
      </c>
      <c r="V26" s="104">
        <f>Janvier!AG26+Fevrier!AE26+Mars!AE26+Avril!AE26+Mai!AE26+Juin!AE26+Juillet!AE26+Aout!AE26+Sept!AE26+Oct!AE26+Nov!AE26+Dec!AE26</f>
        <v>8100</v>
      </c>
      <c r="W26" s="97">
        <f>Janvier!AI26+Fevrier!AG26+Mars!AG26+Avril!AG26+Mai!AG26+Juin!AG26+Juillet!AG26+Aout!AG26+Sept!AG26+Oct!AG26+Nov!AG26+Dec!AG26</f>
        <v>0</v>
      </c>
      <c r="X26" s="309">
        <f t="shared" si="0"/>
        <v>0.74683993353124589</v>
      </c>
      <c r="Y26" s="309">
        <f t="shared" si="1"/>
        <v>0.61899959405938221</v>
      </c>
      <c r="Z26" s="309">
        <f t="shared" si="2"/>
        <v>0.56314143547943796</v>
      </c>
      <c r="AA26" s="309">
        <f t="shared" si="3"/>
        <v>0.29571492315183256</v>
      </c>
      <c r="AB26" s="309">
        <f t="shared" si="4"/>
        <v>0.42212808412557867</v>
      </c>
      <c r="AC26" s="309">
        <f t="shared" si="5"/>
        <v>0.70620671918929512</v>
      </c>
      <c r="AD26" s="309">
        <f t="shared" si="6"/>
        <v>0.51854382568424251</v>
      </c>
      <c r="AE26" s="309">
        <f t="shared" si="7"/>
        <v>0.66355388528261783</v>
      </c>
      <c r="AF26" s="309">
        <f t="shared" si="8"/>
        <v>0.66051702539574075</v>
      </c>
      <c r="AG26" s="310">
        <f t="shared" si="9"/>
        <v>1.2299282541851726</v>
      </c>
    </row>
    <row r="27" spans="1:33" ht="14.25" customHeight="1" x14ac:dyDescent="0.3">
      <c r="A27" s="184" t="s">
        <v>19</v>
      </c>
      <c r="B27" s="212">
        <v>15078</v>
      </c>
      <c r="C27" s="273">
        <v>14833</v>
      </c>
      <c r="D27" s="104">
        <f>Janvier!F27+Fevrier!D27+Mars!D27+Avril!D27+Mai!D27+Juin!D27+Juillet!D27+Aout!D27+Sept!D27+Oct!D27+Nov!D27+Dec!D27</f>
        <v>14760</v>
      </c>
      <c r="E27" s="97">
        <f>+Janvier!H27+Fevrier!F27+Mars!F27+Avril!F27+Mai!F27+Juin!F27+Juillet!F27+Aout!F27+Sept!F27+Oct!F27+Nov!F27+Dec!F27</f>
        <v>0</v>
      </c>
      <c r="F27" s="104">
        <f>Janvier!I27+Fevrier!G27+Mars!G27+Avril!G27+Mai!G27+Juin!G27+Juillet!G27+Aout!G27+Sept!G27+Oct!G27+Nov!G27+Dec!G27</f>
        <v>36840</v>
      </c>
      <c r="G27" s="97">
        <f>+Janvier!K27+Fevrier!I27+Mars!I27+Avril!I27+Mai!I27+Juin!I27+Juillet!I27+Aout!I27+Sept!I27+Oct!I27+Nov!I27+Dec!I27</f>
        <v>0</v>
      </c>
      <c r="H27" s="104">
        <f>Janvier!L27+Fevrier!J27+Mars!J27+Avril!J27+Mai!J27+Juin!J27+Juillet!J27+Aout!J27+Sept!J27+Oct!J27+Nov!J27+Dec!J27</f>
        <v>27130</v>
      </c>
      <c r="I27" s="97">
        <f>Janvier!N27+Fevrier!L27+Mars!L27+Avril!L27+Mai!L27+Juin!L27+Juillet!L27+Aout!L27+Sept!L27+Oct!L27+Nov!L27+Dec!L27</f>
        <v>0</v>
      </c>
      <c r="J27" s="104">
        <f>Janvier!O27+Fevrier!M27+Mars!M27+Avril!M27+Mai!M27+Juin!M27+Juillet!M27+Aout!M27+Sept!M27+Oct!M27+Nov!M27+Dec!M27</f>
        <v>27716</v>
      </c>
      <c r="K27" s="97">
        <f>Janvier!Q27+Fevrier!O27+Mars!O27+Avril!O27+Mai!O27+Juin!O27+Juillet!O27+Aout!O27+Sept!O27+Oct!O27+Nov!O27+Dec!O27</f>
        <v>0</v>
      </c>
      <c r="L27" s="104">
        <f>Janvier!R27+Fevrier!P27+Mars!P27+Avril!P27+Mai!P27+Juin!P27+Juillet!P27+Aout!P27+Sept!P27+Oct!P27+Nov!P27+Dec!P27</f>
        <v>18340</v>
      </c>
      <c r="M27" s="97">
        <f>Janvier!T27+Fevrier!R27+Mars!R27+Avril!R27+Mai!R27+Juin!R27+Juillet!R27+Aout!R27+Sept!R27+Oct!R27+Nov!R27+Dec!R27</f>
        <v>0</v>
      </c>
      <c r="N27" s="104">
        <f>Janvier!U27+Fevrier!S27+Mars!S27+Avril!S27+Mai!S27+Juin!S27+Juillet!S27+Aout!S27+Sept!S27+Oct!S27+Nov!S27+Dec!S27</f>
        <v>9795</v>
      </c>
      <c r="O27" s="97">
        <f>Janvier!W27+Fevrier!U27+Mars!U27+Avril!U27+Mai!U27+Juin!U27+Juillet!U27+Aout!U27+Sept!U27+Oct!U27+Nov!U27+Dec!U27</f>
        <v>0</v>
      </c>
      <c r="P27" s="104">
        <f>Janvier!X27+Fevrier!V27+Mars!V27+Avril!V27+Mai!V27+Juin!V27+Juillet!V27+Aout!V27+Sept!V27+Oct!V27+Nov!V27+Dec!V27</f>
        <v>18250</v>
      </c>
      <c r="Q27" s="97">
        <f>Janvier!Z27+Fevrier!X27+Mars!X27+Avril!X27+Mai!X27+Juin!X27+Juillet!X27+Aout!X27+Sept!X27+Oct!X27+Nov!X27+Dec!X27</f>
        <v>0</v>
      </c>
      <c r="R27" s="104">
        <f>Janvier!AA27+Fevrier!Y27+Mars!Y27+Avril!Y27+Mai!Y27+Juin!Y27+Juillet!Y27+Aout!Y27+Sept!Y27+Oct!Y27+Nov!Y27+Dec!Y27</f>
        <v>10830</v>
      </c>
      <c r="S27" s="97">
        <f>Janvier!AC27+Fevrier!AA27+Mars!AA27+Avril!AA27+Mai!AA27+Juin!AA27+Juillet!AA27+Aout!AA27+Sept!AA27+Oct!AA27+Nov!AA27+Dec!AA27</f>
        <v>0</v>
      </c>
      <c r="T27" s="104">
        <f>Janvier!AD27+Fevrier!AB27+Mars!AB27+Avril!AB27+Mai!AB27+Juin!AB27+Juillet!AB27+Aout!AB27+Sept!AB27+Oct!AB27+Nov!AB27+Dec!AB27</f>
        <v>11170</v>
      </c>
      <c r="U27" s="97">
        <f>Janvier!AF27+Fevrier!AD27+Mars!AD27+Avril!AD27+Mai!AD27+Juin!AD27+Juillet!AD27+Aout!AD27+Sept!AD27+Oct!AD27+Nov!AD27+Dec!AD27</f>
        <v>0</v>
      </c>
      <c r="V27" s="104">
        <f>Janvier!AG27+Fevrier!AE27+Mars!AE27+Avril!AE27+Mai!AE27+Juin!AE27+Juillet!AE27+Aout!AE27+Sept!AE27+Oct!AE27+Nov!AE27+Dec!AE27</f>
        <v>19760</v>
      </c>
      <c r="W27" s="97">
        <f>Janvier!AI27+Fevrier!AG27+Mars!AG27+Avril!AG27+Mai!AG27+Juin!AG27+Juillet!AG27+Aout!AG27+Sept!AG27+Oct!AG27+Nov!AG27+Dec!AG27</f>
        <v>0</v>
      </c>
      <c r="X27" s="309">
        <f t="shared" si="0"/>
        <v>0.76597000760365341</v>
      </c>
      <c r="Y27" s="309">
        <f t="shared" si="1"/>
        <v>0.6215343638656522</v>
      </c>
      <c r="Z27" s="309">
        <f t="shared" si="2"/>
        <v>0.61028690885541581</v>
      </c>
      <c r="AA27" s="309">
        <f t="shared" si="3"/>
        <v>0.32661227157787504</v>
      </c>
      <c r="AB27" s="309">
        <f t="shared" si="4"/>
        <v>0.41255664977546358</v>
      </c>
      <c r="AC27" s="309">
        <f t="shared" si="5"/>
        <v>0.6610129309515812</v>
      </c>
      <c r="AD27" s="309">
        <f t="shared" si="6"/>
        <v>0.54682876768766342</v>
      </c>
      <c r="AE27" s="309">
        <f t="shared" si="7"/>
        <v>0.64900334838985141</v>
      </c>
      <c r="AF27" s="309">
        <f t="shared" si="8"/>
        <v>0.66937833808999458</v>
      </c>
      <c r="AG27" s="310">
        <f t="shared" si="9"/>
        <v>1.1841464602200797</v>
      </c>
    </row>
    <row r="28" spans="1:33" ht="14.25" customHeight="1" x14ac:dyDescent="0.3">
      <c r="A28" s="184" t="s">
        <v>20</v>
      </c>
      <c r="B28" s="212">
        <v>10116</v>
      </c>
      <c r="C28" s="273">
        <v>9951</v>
      </c>
      <c r="D28" s="104">
        <f>Janvier!F28+Fevrier!D28+Mars!D28+Avril!D28+Mai!D28+Juin!D28+Juillet!D28+Aout!D28+Sept!D28+Oct!D28+Nov!D28+Dec!D28</f>
        <v>9440</v>
      </c>
      <c r="E28" s="97">
        <f>+Janvier!H28+Fevrier!F28+Mars!F28+Avril!F28+Mai!F28+Juin!F28+Juillet!F28+Aout!F28+Sept!F28+Oct!F28+Nov!F28+Dec!F28</f>
        <v>0</v>
      </c>
      <c r="F28" s="104">
        <f>Janvier!I28+Fevrier!G28+Mars!G28+Avril!G28+Mai!G28+Juin!G28+Juillet!G28+Aout!G28+Sept!G28+Oct!G28+Nov!G28+Dec!G28</f>
        <v>21040</v>
      </c>
      <c r="G28" s="97">
        <f>+Janvier!K28+Fevrier!I28+Mars!I28+Avril!I28+Mai!I28+Juin!I28+Juillet!I28+Aout!I28+Sept!I28+Oct!I28+Nov!I28+Dec!I28</f>
        <v>0</v>
      </c>
      <c r="H28" s="104">
        <f>Janvier!L28+Fevrier!J28+Mars!J28+Avril!J28+Mai!J28+Juin!J28+Juillet!J28+Aout!J28+Sept!J28+Oct!J28+Nov!J28+Dec!J28</f>
        <v>17330</v>
      </c>
      <c r="I28" s="97">
        <f>Janvier!N28+Fevrier!L28+Mars!L28+Avril!L28+Mai!L28+Juin!L28+Juillet!L28+Aout!L28+Sept!L28+Oct!L28+Nov!L28+Dec!L28</f>
        <v>0</v>
      </c>
      <c r="J28" s="104">
        <f>Janvier!O28+Fevrier!M28+Mars!M28+Avril!M28+Mai!M28+Juin!M28+Juillet!M28+Aout!M28+Sept!M28+Oct!M28+Nov!M28+Dec!M28</f>
        <v>17746</v>
      </c>
      <c r="K28" s="97">
        <f>Janvier!Q28+Fevrier!O28+Mars!O28+Avril!O28+Mai!O28+Juin!O28+Juillet!O28+Aout!O28+Sept!O28+Oct!O28+Nov!O28+Dec!O28</f>
        <v>0</v>
      </c>
      <c r="L28" s="104">
        <f>Janvier!R28+Fevrier!P28+Mars!P28+Avril!P28+Mai!P28+Juin!P28+Juillet!P28+Aout!P28+Sept!P28+Oct!P28+Nov!P28+Dec!P28</f>
        <v>11471</v>
      </c>
      <c r="M28" s="97">
        <f>Janvier!T28+Fevrier!R28+Mars!R28+Avril!R28+Mai!R28+Juin!R28+Juillet!R28+Aout!R28+Sept!R28+Oct!R28+Nov!R28+Dec!R28</f>
        <v>0</v>
      </c>
      <c r="N28" s="104">
        <f>Janvier!U28+Fevrier!S28+Mars!S28+Avril!S28+Mai!S28+Juin!S28+Juillet!S28+Aout!S28+Sept!S28+Oct!S28+Nov!S28+Dec!S28</f>
        <v>5540</v>
      </c>
      <c r="O28" s="97">
        <f>Janvier!W28+Fevrier!U28+Mars!U28+Avril!U28+Mai!U28+Juin!U28+Juillet!U28+Aout!U28+Sept!U28+Oct!U28+Nov!U28+Dec!U28</f>
        <v>0</v>
      </c>
      <c r="P28" s="104">
        <f>Janvier!X28+Fevrier!V28+Mars!V28+Avril!V28+Mai!V28+Juin!V28+Juillet!V28+Aout!V28+Sept!V28+Oct!V28+Nov!V28+Dec!V28</f>
        <v>9920</v>
      </c>
      <c r="Q28" s="97">
        <f>Janvier!Z28+Fevrier!X28+Mars!X28+Avril!X28+Mai!X28+Juin!X28+Juillet!X28+Aout!X28+Sept!X28+Oct!X28+Nov!X28+Dec!X28</f>
        <v>0</v>
      </c>
      <c r="R28" s="104">
        <f>Janvier!AA28+Fevrier!Y28+Mars!Y28+Avril!Y28+Mai!Y28+Juin!Y28+Juillet!Y28+Aout!Y28+Sept!Y28+Oct!Y28+Nov!Y28+Dec!Y28</f>
        <v>6610</v>
      </c>
      <c r="S28" s="97">
        <f>Janvier!AC28+Fevrier!AA28+Mars!AA28+Avril!AA28+Mai!AA28+Juin!AA28+Juillet!AA28+Aout!AA28+Sept!AA28+Oct!AA28+Nov!AA28+Dec!AA28</f>
        <v>0</v>
      </c>
      <c r="T28" s="104">
        <f>Janvier!AD28+Fevrier!AB28+Mars!AB28+Avril!AB28+Mai!AB28+Juin!AB28+Juillet!AB28+Aout!AB28+Sept!AB28+Oct!AB28+Nov!AB28+Dec!AB28</f>
        <v>6680</v>
      </c>
      <c r="U28" s="97">
        <f>Janvier!AF28+Fevrier!AD28+Mars!AD28+Avril!AD28+Mai!AD28+Juin!AD28+Juillet!AD28+Aout!AD28+Sept!AD28+Oct!AD28+Nov!AD28+Dec!AD28</f>
        <v>0</v>
      </c>
      <c r="V28" s="104">
        <f>Janvier!AG28+Fevrier!AE28+Mars!AE28+Avril!AE28+Mai!AE28+Juin!AE28+Juillet!AE28+Aout!AE28+Sept!AE28+Oct!AE28+Nov!AE28+Dec!AE28</f>
        <v>9950</v>
      </c>
      <c r="W28" s="97">
        <f>Janvier!AI28+Fevrier!AG28+Mars!AG28+Avril!AG28+Mai!AG28+Juin!AG28+Juillet!AG28+Aout!AG28+Sept!AG28+Oct!AG28+Nov!AG28+Dec!AG28</f>
        <v>0</v>
      </c>
      <c r="X28" s="309">
        <f t="shared" si="0"/>
        <v>0.73018401255916499</v>
      </c>
      <c r="Y28" s="309">
        <f t="shared" si="1"/>
        <v>0.52911921065875434</v>
      </c>
      <c r="Z28" s="309">
        <f t="shared" si="2"/>
        <v>0.58109226367022904</v>
      </c>
      <c r="AA28" s="309">
        <f t="shared" si="3"/>
        <v>0.32584521107756387</v>
      </c>
      <c r="AB28" s="309">
        <f t="shared" si="4"/>
        <v>0.38463412328685498</v>
      </c>
      <c r="AC28" s="309">
        <f t="shared" si="5"/>
        <v>0.5572852522907793</v>
      </c>
      <c r="AD28" s="309">
        <f t="shared" si="6"/>
        <v>0.44305988231221877</v>
      </c>
      <c r="AE28" s="309">
        <f t="shared" si="7"/>
        <v>0.59044875445237222</v>
      </c>
      <c r="AF28" s="309">
        <f t="shared" si="8"/>
        <v>0.59670161569468172</v>
      </c>
      <c r="AG28" s="310">
        <f t="shared" si="9"/>
        <v>0.88879956229971302</v>
      </c>
    </row>
    <row r="29" spans="1:33" ht="15" thickBot="1" x14ac:dyDescent="0.35">
      <c r="A29" s="184" t="s">
        <v>79</v>
      </c>
      <c r="B29" s="282">
        <v>15560</v>
      </c>
      <c r="C29" s="283">
        <v>15307</v>
      </c>
      <c r="D29" s="295">
        <f>Janvier!F29+Fevrier!D29+Mars!D29+Avril!D29+Mai!D29+Juin!D29+Juillet!D29+Aout!D29+Sept!D29+Oct!D29+Nov!D29+Dec!D29</f>
        <v>14700</v>
      </c>
      <c r="E29" s="261">
        <f>+Janvier!H29+Fevrier!F29+Mars!F29+Avril!F29+Mai!F29+Juin!F29+Juillet!F29+Aout!F29+Sept!F29+Oct!F29+Nov!F29+Dec!F29</f>
        <v>3</v>
      </c>
      <c r="F29" s="295">
        <f>Janvier!I29+Fevrier!G29+Mars!G29+Avril!G29+Mai!G29+Juin!G29+Juillet!G29+Aout!G29+Sept!G29+Oct!G29+Nov!G29+Dec!G29</f>
        <v>37180</v>
      </c>
      <c r="G29" s="261">
        <f>+Janvier!K29+Fevrier!I29+Mars!I29+Avril!I29+Mai!I29+Juin!I29+Juillet!I29+Aout!I29+Sept!I29+Oct!I29+Nov!I29+Dec!I29</f>
        <v>0</v>
      </c>
      <c r="H29" s="295">
        <f>Janvier!L29+Fevrier!J29+Mars!J29+Avril!J29+Mai!J29+Juin!J29+Juillet!J29+Aout!J29+Sept!J29+Oct!J29+Nov!J29+Dec!J29</f>
        <v>29500</v>
      </c>
      <c r="I29" s="261">
        <f>Janvier!N29+Fevrier!L29+Mars!L29+Avril!L29+Mai!L29+Juin!L29+Juillet!L29+Aout!L29+Sept!L29+Oct!L29+Nov!L29+Dec!L29</f>
        <v>3</v>
      </c>
      <c r="J29" s="295">
        <f>Janvier!O29+Fevrier!M29+Mars!M29+Avril!M29+Mai!M29+Juin!M29+Juillet!M29+Aout!M29+Sept!M29+Oct!M29+Nov!M29+Dec!M29</f>
        <v>29212</v>
      </c>
      <c r="K29" s="261">
        <f>Janvier!Q29+Fevrier!O29+Mars!O29+Avril!O29+Mai!O29+Juin!O29+Juillet!O29+Aout!O29+Sept!O29+Oct!O29+Nov!O29+Dec!O29</f>
        <v>0</v>
      </c>
      <c r="L29" s="295">
        <f>Janvier!R29+Fevrier!P29+Mars!P29+Avril!P29+Mai!P29+Juin!P29+Juillet!P29+Aout!P29+Sept!P29+Oct!P29+Nov!P29+Dec!P29</f>
        <v>19150</v>
      </c>
      <c r="M29" s="261">
        <f>Janvier!T29+Fevrier!R29+Mars!R29+Avril!R29+Mai!R29+Juin!R29+Juillet!R29+Aout!R29+Sept!R29+Oct!R29+Nov!R29+Dec!R29</f>
        <v>0</v>
      </c>
      <c r="N29" s="295">
        <f>Janvier!U29+Fevrier!S29+Mars!S29+Avril!S29+Mai!S29+Juin!S29+Juillet!S29+Aout!S29+Sept!S29+Oct!S29+Nov!S29+Dec!S29</f>
        <v>8895</v>
      </c>
      <c r="O29" s="261">
        <f>Janvier!W29+Fevrier!U29+Mars!U29+Avril!U29+Mai!U29+Juin!U29+Juillet!U29+Aout!U29+Sept!U29+Oct!U29+Nov!U29+Dec!U29</f>
        <v>0</v>
      </c>
      <c r="P29" s="295">
        <f>Janvier!X29+Fevrier!V29+Mars!V29+Avril!V29+Mai!V29+Juin!V29+Juillet!V29+Aout!V29+Sept!V29+Oct!V29+Nov!V29+Dec!V29</f>
        <v>17830</v>
      </c>
      <c r="Q29" s="261">
        <f>Janvier!Z29+Fevrier!X29+Mars!X29+Avril!X29+Mai!X29+Juin!X29+Juillet!X29+Aout!X29+Sept!X29+Oct!X29+Nov!X29+Dec!X29</f>
        <v>0</v>
      </c>
      <c r="R29" s="295">
        <f>Janvier!AA29+Fevrier!Y29+Mars!Y29+Avril!Y29+Mai!Y29+Juin!Y29+Juillet!Y29+Aout!Y29+Sept!Y29+Oct!Y29+Nov!Y29+Dec!Y29</f>
        <v>10910</v>
      </c>
      <c r="S29" s="261">
        <f>Janvier!AC29+Fevrier!AA29+Mars!AA29+Avril!AA29+Mai!AA29+Juin!AA29+Juillet!AA29+Aout!AA29+Sept!AA29+Oct!AA29+Nov!AA29+Dec!AA29</f>
        <v>0</v>
      </c>
      <c r="T29" s="295">
        <f>Janvier!AD29+Fevrier!AB29+Mars!AB29+Avril!AB29+Mai!AB29+Juin!AB29+Juillet!AB29+Aout!AB29+Sept!AB29+Oct!AB29+Nov!AB29+Dec!AB29</f>
        <v>11000</v>
      </c>
      <c r="U29" s="261">
        <f>Janvier!AF29+Fevrier!AD29+Mars!AD29+Avril!AD29+Mai!AD29+Juin!AD29+Juillet!AD29+Aout!AD29+Sept!AD29+Oct!AD29+Nov!AD29+Dec!AD29</f>
        <v>0</v>
      </c>
      <c r="V29" s="295">
        <f>Janvier!AG29+Fevrier!AE29+Mars!AE29+Avril!AE29+Mai!AE29+Juin!AE29+Juillet!AE29+Aout!AE29+Sept!AE29+Oct!AE29+Nov!AE29+Dec!AE29</f>
        <v>17880</v>
      </c>
      <c r="W29" s="261">
        <f>Janvier!AI29+Fevrier!AG29+Mars!AG29+Avril!AG29+Mai!AG29+Juin!AG29+Juillet!AG29+Aout!AG29+Sept!AG29+Oct!AG29+Nov!AG29+Dec!AG29</f>
        <v>0</v>
      </c>
      <c r="X29" s="309">
        <f t="shared" si="0"/>
        <v>0.73922541245760764</v>
      </c>
      <c r="Y29" s="309">
        <f t="shared" si="1"/>
        <v>0.60784636468963893</v>
      </c>
      <c r="Z29" s="309">
        <f t="shared" si="2"/>
        <v>0.6430506637383665</v>
      </c>
      <c r="AA29" s="309">
        <f t="shared" si="3"/>
        <v>0.33695661063409477</v>
      </c>
      <c r="AB29" s="309">
        <f t="shared" si="4"/>
        <v>0.41743797324032944</v>
      </c>
      <c r="AC29" s="309">
        <f t="shared" si="5"/>
        <v>0.58168837158841724</v>
      </c>
      <c r="AD29" s="309">
        <f t="shared" si="6"/>
        <v>0.51770068886420884</v>
      </c>
      <c r="AE29" s="309">
        <f t="shared" si="7"/>
        <v>0.63355182451020953</v>
      </c>
      <c r="AF29" s="309">
        <f t="shared" si="8"/>
        <v>0.63877819153183368</v>
      </c>
      <c r="AG29" s="310">
        <f t="shared" si="9"/>
        <v>1.0383049149626533</v>
      </c>
    </row>
    <row r="30" spans="1:33" ht="15" thickBot="1" x14ac:dyDescent="0.35">
      <c r="A30" s="279" t="s">
        <v>84</v>
      </c>
      <c r="B30" s="296">
        <v>228449</v>
      </c>
      <c r="C30" s="297">
        <v>226953</v>
      </c>
      <c r="D30" s="294">
        <f>Janvier!F30+Fevrier!D30+Mars!D30+Avril!D30+Mai!D30+Juin!D30+Juillet!D30+Aout!D30+Sept!D30+Oct!D30+Nov!D30+Dec!D30</f>
        <v>323000</v>
      </c>
      <c r="E30" s="293">
        <f>+Janvier!H30+Fevrier!F30+Mars!F30+Avril!F30+Mai!F30+Juin!F30+Juillet!F30+Aout!F30+Sept!F30+Oct!F30+Nov!F30+Dec!F30</f>
        <v>26</v>
      </c>
      <c r="F30" s="294">
        <f>Janvier!I30+Fevrier!G30+Mars!G30+Avril!G30+Mai!G30+Juin!G30+Juillet!G30+Aout!G30+Sept!G30+Oct!G30+Nov!G30+Dec!G30</f>
        <v>731500</v>
      </c>
      <c r="G30" s="293">
        <f>+Janvier!K30+Fevrier!I30+Mars!I30+Avril!I30+Mai!I30+Juin!I30+Juillet!I30+Aout!I30+Sept!I30+Oct!I30+Nov!I30+Dec!I30</f>
        <v>0</v>
      </c>
      <c r="H30" s="294">
        <f>Janvier!L30+Fevrier!J30+Mars!J30+Avril!J30+Mai!J30+Juin!J30+Juillet!J30+Aout!J30+Sept!J30+Oct!J30+Nov!J30+Dec!J30</f>
        <v>668220</v>
      </c>
      <c r="I30" s="293">
        <f>Janvier!N30+Fevrier!L30+Mars!L30+Avril!L30+Mai!L30+Juin!L30+Juillet!L30+Aout!L30+Sept!L30+Oct!L30+Nov!L30+Dec!L30</f>
        <v>0</v>
      </c>
      <c r="J30" s="294">
        <f>Janvier!O30+Fevrier!M30+Mars!M30+Avril!M30+Mai!M30+Juin!M30+Juillet!M30+Aout!M30+Sept!M30+Oct!M30+Nov!M30+Dec!M30</f>
        <v>617000</v>
      </c>
      <c r="K30" s="293">
        <f>Janvier!Q30+Fevrier!O30+Mars!O30+Avril!O30+Mai!O30+Juin!O30+Juillet!O30+Aout!O30+Sept!O30+Oct!O30+Nov!O30+Dec!O30</f>
        <v>0</v>
      </c>
      <c r="L30" s="294">
        <f>Janvier!R30+Fevrier!P30+Mars!P30+Avril!P30+Mai!P30+Juin!P30+Juillet!P30+Aout!P30+Sept!P30+Oct!P30+Nov!P30+Dec!P30</f>
        <v>405500</v>
      </c>
      <c r="M30" s="293">
        <f>Janvier!T30+Fevrier!R30+Mars!R30+Avril!R30+Mai!R30+Juin!R30+Juillet!R30+Aout!R30+Sept!R30+Oct!R30+Nov!R30+Dec!R30</f>
        <v>0</v>
      </c>
      <c r="N30" s="294">
        <f>Janvier!U30+Fevrier!S30+Mars!S30+Avril!S30+Mai!S30+Juin!S30+Juillet!S30+Aout!S30+Sept!S30+Oct!S30+Nov!S30+Dec!S30</f>
        <v>213600</v>
      </c>
      <c r="O30" s="293">
        <f>Janvier!W30+Fevrier!U30+Mars!U30+Avril!U30+Mai!U30+Juin!U30+Juillet!U30+Aout!U30+Sept!U30+Oct!U30+Nov!U30+Dec!U30</f>
        <v>0</v>
      </c>
      <c r="P30" s="294">
        <f>Janvier!X30+Fevrier!V30+Mars!V30+Avril!V30+Mai!V30+Juin!V30+Juillet!V30+Aout!V30+Sept!V30+Oct!V30+Nov!V30+Dec!V30</f>
        <v>416900</v>
      </c>
      <c r="Q30" s="293">
        <f>Janvier!Z30+Fevrier!X30+Mars!X30+Avril!X30+Mai!X30+Juin!X30+Juillet!X30+Aout!X30+Sept!X30+Oct!X30+Nov!X30+Dec!X30</f>
        <v>0</v>
      </c>
      <c r="R30" s="294">
        <f>Janvier!AA30+Fevrier!Y30+Mars!Y30+Avril!Y30+Mai!Y30+Juin!Y30+Juillet!Y30+Aout!Y30+Sept!Y30+Oct!Y30+Nov!Y30+Dec!Y30</f>
        <v>259200</v>
      </c>
      <c r="S30" s="293">
        <f>Janvier!AC30+Fevrier!AA30+Mars!AA30+Avril!AA30+Mai!AA30+Juin!AA30+Juillet!AA30+Aout!AA30+Sept!AA30+Oct!AA30+Nov!AA30+Dec!AA30</f>
        <v>52</v>
      </c>
      <c r="T30" s="294">
        <f>Janvier!AD30+Fevrier!AB30+Mars!AB30+Avril!AB30+Mai!AB30+Juin!AB30+Juillet!AB30+Aout!AB30+Sept!AB30+Oct!AB30+Nov!AB30+Dec!AB30</f>
        <v>229220</v>
      </c>
      <c r="U30" s="293">
        <f>Janvier!AF30+Fevrier!AD30+Mars!AD30+Avril!AD30+Mai!AD30+Juin!AD30+Juillet!AD30+Aout!AD30+Sept!AD30+Oct!AD30+Nov!AD30+Dec!AD30</f>
        <v>51</v>
      </c>
      <c r="V30" s="294">
        <f>Janvier!AG30+Fevrier!AE30+Mars!AE30+Avril!AE30+Mai!AE30+Juin!AE30+Juillet!AE30+Aout!AE30+Sept!AE30+Oct!AE30+Nov!AE30+Dec!AE30</f>
        <v>335800</v>
      </c>
      <c r="W30" s="293">
        <f>Janvier!AI30+Fevrier!AG30+Mars!AG30+Avril!AG30+Mai!AG30+Juin!AG30+Juillet!AG30+Aout!AG30+Sept!AG30+Oct!AG30+Nov!AG30+Dec!AG30</f>
        <v>0</v>
      </c>
      <c r="X30" s="309">
        <f t="shared" si="0"/>
        <v>1.1063241867861311</v>
      </c>
      <c r="Y30" s="309">
        <f t="shared" si="1"/>
        <v>0.80659016650168991</v>
      </c>
      <c r="Z30" s="309">
        <f t="shared" si="2"/>
        <v>0.9824191042328716</v>
      </c>
      <c r="AA30" s="309">
        <f t="shared" si="3"/>
        <v>0.36136622846509392</v>
      </c>
      <c r="AB30" s="309">
        <f t="shared" si="4"/>
        <v>0.5961673502236231</v>
      </c>
      <c r="AC30" s="309">
        <f t="shared" si="5"/>
        <v>0.94210613569247281</v>
      </c>
      <c r="AD30" s="309">
        <f t="shared" si="6"/>
        <v>0.8164196502751182</v>
      </c>
      <c r="AE30" s="309">
        <f t="shared" si="7"/>
        <v>1.0151881667129317</v>
      </c>
      <c r="AF30" s="309">
        <f t="shared" si="8"/>
        <v>0.89776786872661352</v>
      </c>
      <c r="AG30" s="310">
        <f t="shared" si="9"/>
        <v>1.3152013363510899</v>
      </c>
    </row>
    <row r="31" spans="1:33" ht="15" thickBot="1" x14ac:dyDescent="0.35">
      <c r="A31" s="184" t="s">
        <v>35</v>
      </c>
      <c r="B31" s="277">
        <v>16519</v>
      </c>
      <c r="C31" s="278">
        <v>16411</v>
      </c>
      <c r="D31" s="287">
        <f>Janvier!F31+Fevrier!D31+Mars!D31+Avril!D31+Mai!D31+Juin!D31+Juillet!D31+Aout!D31+Sept!D31+Oct!D31+Nov!D31+Dec!D31</f>
        <v>20840</v>
      </c>
      <c r="E31" s="150">
        <f>+Janvier!H31+Fevrier!F31+Mars!F31+Avril!F31+Mai!F31+Juin!F31+Juillet!F31+Aout!F31+Sept!F31+Oct!F31+Nov!F31+Dec!F31</f>
        <v>27</v>
      </c>
      <c r="F31" s="287">
        <f>Janvier!I31+Fevrier!G31+Mars!G31+Avril!G31+Mai!G31+Juin!G31+Juillet!G31+Aout!G31+Sept!G31+Oct!G31+Nov!G31+Dec!G31</f>
        <v>66080</v>
      </c>
      <c r="G31" s="150">
        <f>+Janvier!K31+Fevrier!I31+Mars!I31+Avril!I31+Mai!I31+Juin!I31+Juillet!I31+Aout!I31+Sept!I31+Oct!I31+Nov!I31+Dec!I31</f>
        <v>0</v>
      </c>
      <c r="H31" s="287">
        <f>Janvier!L31+Fevrier!J31+Mars!J31+Avril!J31+Mai!J31+Juin!J31+Juillet!J31+Aout!J31+Sept!J31+Oct!J31+Nov!J31+Dec!J31</f>
        <v>47250</v>
      </c>
      <c r="I31" s="150">
        <f>Janvier!N31+Fevrier!L31+Mars!L31+Avril!L31+Mai!L31+Juin!L31+Juillet!L31+Aout!L31+Sept!L31+Oct!L31+Nov!L31+Dec!L31</f>
        <v>0</v>
      </c>
      <c r="J31" s="287">
        <f>Janvier!O31+Fevrier!M31+Mars!M31+Avril!M31+Mai!M31+Juin!M31+Juillet!M31+Aout!M31+Sept!M31+Oct!M31+Nov!M31+Dec!M31</f>
        <v>48648</v>
      </c>
      <c r="K31" s="150">
        <f>Janvier!Q31+Fevrier!O31+Mars!O31+Avril!O31+Mai!O31+Juin!O31+Juillet!O31+Aout!O31+Sept!O31+Oct!O31+Nov!O31+Dec!O31</f>
        <v>0</v>
      </c>
      <c r="L31" s="287">
        <f>Janvier!R31+Fevrier!P31+Mars!P31+Avril!P31+Mai!P31+Juin!P31+Juillet!P31+Aout!P31+Sept!P31+Oct!P31+Nov!P31+Dec!P31</f>
        <v>25539</v>
      </c>
      <c r="M31" s="150">
        <f>Janvier!T31+Fevrier!R31+Mars!R31+Avril!R31+Mai!R31+Juin!R31+Juillet!R31+Aout!R31+Sept!R31+Oct!R31+Nov!R31+Dec!R31</f>
        <v>0</v>
      </c>
      <c r="N31" s="287">
        <f>Janvier!U31+Fevrier!S31+Mars!S31+Avril!S31+Mai!S31+Juin!S31+Juillet!S31+Aout!S31+Sept!S31+Oct!S31+Nov!S31+Dec!S31</f>
        <v>17650</v>
      </c>
      <c r="O31" s="150">
        <f>Janvier!W31+Fevrier!U31+Mars!U31+Avril!U31+Mai!U31+Juin!U31+Juillet!U31+Aout!U31+Sept!U31+Oct!U31+Nov!U31+Dec!U31</f>
        <v>0</v>
      </c>
      <c r="P31" s="287">
        <f>Janvier!X31+Fevrier!V31+Mars!V31+Avril!V31+Mai!V31+Juin!V31+Juillet!V31+Aout!V31+Sept!V31+Oct!V31+Nov!V31+Dec!V31</f>
        <v>39540</v>
      </c>
      <c r="Q31" s="150">
        <f>Janvier!Z31+Fevrier!X31+Mars!X31+Avril!X31+Mai!X31+Juin!X31+Juillet!X31+Aout!X31+Sept!X31+Oct!X31+Nov!X31+Dec!X31</f>
        <v>0</v>
      </c>
      <c r="R31" s="287">
        <f>Janvier!AA31+Fevrier!Y31+Mars!Y31+Avril!Y31+Mai!Y31+Juin!Y31+Juillet!Y31+Aout!Y31+Sept!Y31+Oct!Y31+Nov!Y31+Dec!Y31</f>
        <v>18310</v>
      </c>
      <c r="S31" s="150">
        <f>Janvier!AC31+Fevrier!AA31+Mars!AA31+Avril!AA31+Mai!AA31+Juin!AA31+Juillet!AA31+Aout!AA31+Sept!AA31+Oct!AA31+Nov!AA31+Dec!AA31</f>
        <v>32</v>
      </c>
      <c r="T31" s="287">
        <f>Janvier!AD31+Fevrier!AB31+Mars!AB31+Avril!AB31+Mai!AB31+Juin!AB31+Juillet!AB31+Aout!AB31+Sept!AB31+Oct!AB31+Nov!AB31+Dec!AB31</f>
        <v>11660</v>
      </c>
      <c r="U31" s="150">
        <f>Janvier!AF31+Fevrier!AD31+Mars!AD31+Avril!AD31+Mai!AD31+Juin!AD31+Juillet!AD31+Aout!AD31+Sept!AD31+Oct!AD31+Nov!AD31+Dec!AD31</f>
        <v>46</v>
      </c>
      <c r="V31" s="287">
        <f>Janvier!AG31+Fevrier!AE31+Mars!AE31+Avril!AE31+Mai!AE31+Juin!AE31+Juillet!AE31+Aout!AE31+Sept!AE31+Oct!AE31+Nov!AE31+Dec!AE31</f>
        <v>37062</v>
      </c>
      <c r="W31" s="150">
        <f>Janvier!AI31+Fevrier!AG31+Mars!AG31+Avril!AG31+Mai!AG31+Juin!AG31+Juillet!AG31+Aout!AG31+Sept!AG31+Oct!AG31+Nov!AG31+Dec!AG31</f>
        <v>0</v>
      </c>
      <c r="X31" s="309">
        <f t="shared" si="0"/>
        <v>0.9871499040181454</v>
      </c>
      <c r="Y31" s="309">
        <f t="shared" si="1"/>
        <v>1.0076495360755917</v>
      </c>
      <c r="Z31" s="309">
        <f t="shared" si="2"/>
        <v>0.96068282041105146</v>
      </c>
      <c r="AA31" s="309">
        <f t="shared" si="3"/>
        <v>0.32407839511934233</v>
      </c>
      <c r="AB31" s="309">
        <f t="shared" si="4"/>
        <v>0.51925668889900201</v>
      </c>
      <c r="AC31" s="309">
        <f t="shared" si="5"/>
        <v>1.0765747162066703</v>
      </c>
      <c r="AD31" s="309">
        <f t="shared" si="6"/>
        <v>1.0708264781752077</v>
      </c>
      <c r="AE31" s="309">
        <f t="shared" si="7"/>
        <v>0.99174672814304765</v>
      </c>
      <c r="AF31" s="309">
        <f t="shared" si="8"/>
        <v>0.63155471601026414</v>
      </c>
      <c r="AG31" s="310">
        <f t="shared" si="9"/>
        <v>2.0074340381451465</v>
      </c>
    </row>
    <row r="32" spans="1:33" thickBot="1" x14ac:dyDescent="0.35">
      <c r="A32" s="184" t="s">
        <v>36</v>
      </c>
      <c r="B32" s="212">
        <v>3510</v>
      </c>
      <c r="C32" s="273">
        <v>3487</v>
      </c>
      <c r="D32" s="116">
        <f>Janvier!F32+Fevrier!D32+Mars!D32+Avril!D32+Mai!D32+Juin!D32+Juillet!D32+Aout!D32+Sept!D32+Oct!D32+Nov!D32+Dec!D32</f>
        <v>11540</v>
      </c>
      <c r="E32" s="97">
        <f>+Janvier!H32+Fevrier!F32+Mars!F32+Avril!F32+Mai!F32+Juin!F32+Juillet!F32+Aout!F32+Sept!F32+Oct!F32+Nov!F32+Dec!F32</f>
        <v>7</v>
      </c>
      <c r="F32" s="116">
        <f>Janvier!I32+Fevrier!G32+Mars!G32+Avril!G32+Mai!G32+Juin!G32+Juillet!G32+Aout!G32+Sept!G32+Oct!G32+Nov!G32+Dec!G32</f>
        <v>17340</v>
      </c>
      <c r="G32" s="97">
        <f>+Janvier!K32+Fevrier!I32+Mars!I32+Avril!I32+Mai!I32+Juin!I32+Juillet!I32+Aout!I32+Sept!I32+Oct!I32+Nov!I32+Dec!I32</f>
        <v>0</v>
      </c>
      <c r="H32" s="116">
        <f>Janvier!L32+Fevrier!J32+Mars!J32+Avril!J32+Mai!J32+Juin!J32+Juillet!J32+Aout!J32+Sept!J32+Oct!J32+Nov!J32+Dec!J32</f>
        <v>15850</v>
      </c>
      <c r="I32" s="97">
        <f>Janvier!N32+Fevrier!L32+Mars!L32+Avril!L32+Mai!L32+Juin!L32+Juillet!L32+Aout!L32+Sept!L32+Oct!L32+Nov!L32+Dec!L32</f>
        <v>0</v>
      </c>
      <c r="J32" s="116">
        <f>Janvier!O32+Fevrier!M32+Mars!M32+Avril!M32+Mai!M32+Juin!M32+Juillet!M32+Aout!M32+Sept!M32+Oct!M32+Nov!M32+Dec!M32</f>
        <v>15464</v>
      </c>
      <c r="K32" s="97">
        <f>Janvier!Q32+Fevrier!O32+Mars!O32+Avril!O32+Mai!O32+Juin!O32+Juillet!O32+Aout!O32+Sept!O32+Oct!O32+Nov!O32+Dec!O32</f>
        <v>0</v>
      </c>
      <c r="L32" s="116">
        <f>Janvier!R32+Fevrier!P32+Mars!P32+Avril!P32+Mai!P32+Juin!P32+Juillet!P32+Aout!P32+Sept!P32+Oct!P32+Nov!P32+Dec!P32</f>
        <v>9678</v>
      </c>
      <c r="M32" s="97">
        <f>Janvier!T32+Fevrier!R32+Mars!R32+Avril!R32+Mai!R32+Juin!R32+Juillet!R32+Aout!R32+Sept!R32+Oct!R32+Nov!R32+Dec!R32</f>
        <v>0</v>
      </c>
      <c r="N32" s="116">
        <f>Janvier!U32+Fevrier!S32+Mars!S32+Avril!S32+Mai!S32+Juin!S32+Juillet!S32+Aout!S32+Sept!S32+Oct!S32+Nov!S32+Dec!S32</f>
        <v>5720</v>
      </c>
      <c r="O32" s="97">
        <f>Janvier!W32+Fevrier!U32+Mars!U32+Avril!U32+Mai!U32+Juin!U32+Juillet!U32+Aout!U32+Sept!U32+Oct!U32+Nov!U32+Dec!U32</f>
        <v>0</v>
      </c>
      <c r="P32" s="116">
        <f>Janvier!X32+Fevrier!V32+Mars!V32+Avril!V32+Mai!V32+Juin!V32+Juillet!V32+Aout!V32+Sept!V32+Oct!V32+Nov!V32+Dec!V32</f>
        <v>13340</v>
      </c>
      <c r="Q32" s="97">
        <f>Janvier!Z32+Fevrier!X32+Mars!X32+Avril!X32+Mai!X32+Juin!X32+Juillet!X32+Aout!X32+Sept!X32+Oct!X32+Nov!X32+Dec!X32</f>
        <v>0</v>
      </c>
      <c r="R32" s="116">
        <f>Janvier!AA32+Fevrier!Y32+Mars!Y32+Avril!Y32+Mai!Y32+Juin!Y32+Juillet!Y32+Aout!Y32+Sept!Y32+Oct!Y32+Nov!Y32+Dec!Y32</f>
        <v>5740</v>
      </c>
      <c r="S32" s="97">
        <f>Janvier!AC32+Fevrier!AA32+Mars!AA32+Avril!AA32+Mai!AA32+Juin!AA32+Juillet!AA32+Aout!AA32+Sept!AA32+Oct!AA32+Nov!AA32+Dec!AA32</f>
        <v>28</v>
      </c>
      <c r="T32" s="116">
        <f>Janvier!AD32+Fevrier!AB32+Mars!AB32+Avril!AB32+Mai!AB32+Juin!AB32+Juillet!AB32+Aout!AB32+Sept!AB32+Oct!AB32+Nov!AB32+Dec!AB32</f>
        <v>4990</v>
      </c>
      <c r="U32" s="97">
        <f>Janvier!AF32+Fevrier!AD32+Mars!AD32+Avril!AD32+Mai!AD32+Juin!AD32+Juillet!AD32+Aout!AD32+Sept!AD32+Oct!AD32+Nov!AD32+Dec!AD32</f>
        <v>31</v>
      </c>
      <c r="V32" s="116">
        <f>Janvier!AG32+Fevrier!AE32+Mars!AE32+Avril!AE32+Mai!AE32+Juin!AE32+Juillet!AE32+Aout!AE32+Sept!AE32+Oct!AE32+Nov!AE32+Dec!AE32</f>
        <v>8626</v>
      </c>
      <c r="W32" s="97">
        <f>Janvier!AI32+Fevrier!AG32+Mars!AG32+Avril!AG32+Mai!AG32+Juin!AG32+Juillet!AG32+Aout!AG32+Sept!AG32+Oct!AG32+Nov!AG32+Dec!AG32</f>
        <v>10</v>
      </c>
      <c r="X32" s="309">
        <f t="shared" si="0"/>
        <v>2.5725737775816024</v>
      </c>
      <c r="Y32" s="309">
        <f t="shared" si="1"/>
        <v>1.2444334210895724</v>
      </c>
      <c r="Z32" s="309">
        <f t="shared" si="2"/>
        <v>1.5166681833348497</v>
      </c>
      <c r="AA32" s="309">
        <f t="shared" si="3"/>
        <v>0.34199572913144211</v>
      </c>
      <c r="AB32" s="309">
        <f t="shared" si="4"/>
        <v>0.92607663585581546</v>
      </c>
      <c r="AC32" s="309">
        <f t="shared" si="5"/>
        <v>1.6420205694653642</v>
      </c>
      <c r="AD32" s="309">
        <f t="shared" si="6"/>
        <v>1.7002835930280724</v>
      </c>
      <c r="AE32" s="309">
        <f t="shared" si="7"/>
        <v>1.4632125673135137</v>
      </c>
      <c r="AF32" s="309">
        <f t="shared" si="8"/>
        <v>1.2720262562533855</v>
      </c>
      <c r="AG32" s="310">
        <f t="shared" si="9"/>
        <v>2.1988974922728866</v>
      </c>
    </row>
    <row r="33" spans="1:33" thickBot="1" x14ac:dyDescent="0.35">
      <c r="A33" s="184" t="s">
        <v>37</v>
      </c>
      <c r="B33" s="212">
        <v>42333</v>
      </c>
      <c r="C33" s="273">
        <v>42056</v>
      </c>
      <c r="D33" s="116">
        <f>Janvier!F33+Fevrier!D33+Mars!D33+Avril!D33+Mai!D33+Juin!D33+Juillet!D33+Aout!D33+Sept!D33+Oct!D33+Nov!D33+Dec!D33</f>
        <v>64700</v>
      </c>
      <c r="E33" s="97">
        <f>+Janvier!H33+Fevrier!F33+Mars!F33+Avril!F33+Mai!F33+Juin!F33+Juillet!F33+Aout!F33+Sept!F33+Oct!F33+Nov!F33+Dec!F33</f>
        <v>10</v>
      </c>
      <c r="F33" s="116">
        <f>Janvier!I33+Fevrier!G33+Mars!G33+Avril!G33+Mai!G33+Juin!G33+Juillet!G33+Aout!G33+Sept!G33+Oct!G33+Nov!G33+Dec!G33</f>
        <v>189300</v>
      </c>
      <c r="G33" s="97">
        <f>+Janvier!K33+Fevrier!I33+Mars!I33+Avril!I33+Mai!I33+Juin!I33+Juillet!I33+Aout!I33+Sept!I33+Oct!I33+Nov!I33+Dec!I33</f>
        <v>0</v>
      </c>
      <c r="H33" s="116">
        <f>Janvier!L33+Fevrier!J33+Mars!J33+Avril!J33+Mai!J33+Juin!J33+Juillet!J33+Aout!J33+Sept!J33+Oct!J33+Nov!J33+Dec!J33</f>
        <v>141780</v>
      </c>
      <c r="I33" s="97">
        <f>Janvier!N33+Fevrier!L33+Mars!L33+Avril!L33+Mai!L33+Juin!L33+Juillet!L33+Aout!L33+Sept!L33+Oct!L33+Nov!L33+Dec!L33</f>
        <v>0</v>
      </c>
      <c r="J33" s="116">
        <f>Janvier!O33+Fevrier!M33+Mars!M33+Avril!M33+Mai!M33+Juin!M33+Juillet!M33+Aout!M33+Sept!M33+Oct!M33+Nov!M33+Dec!M33</f>
        <v>139340</v>
      </c>
      <c r="K33" s="97">
        <f>Janvier!Q33+Fevrier!O33+Mars!O33+Avril!O33+Mai!O33+Juin!O33+Juillet!O33+Aout!O33+Sept!O33+Oct!O33+Nov!O33+Dec!O33</f>
        <v>0</v>
      </c>
      <c r="L33" s="116">
        <f>Janvier!R33+Fevrier!P33+Mars!P33+Avril!P33+Mai!P33+Juin!P33+Juillet!P33+Aout!P33+Sept!P33+Oct!P33+Nov!P33+Dec!P33</f>
        <v>94049</v>
      </c>
      <c r="M33" s="97">
        <f>Janvier!T33+Fevrier!R33+Mars!R33+Avril!R33+Mai!R33+Juin!R33+Juillet!R33+Aout!R33+Sept!R33+Oct!R33+Nov!R33+Dec!R33</f>
        <v>0</v>
      </c>
      <c r="N33" s="116">
        <f>Janvier!U33+Fevrier!S33+Mars!S33+Avril!S33+Mai!S33+Juin!S33+Juillet!S33+Aout!S33+Sept!S33+Oct!S33+Nov!S33+Dec!S33</f>
        <v>49480</v>
      </c>
      <c r="O33" s="97">
        <f>Janvier!W33+Fevrier!U33+Mars!U33+Avril!U33+Mai!U33+Juin!U33+Juillet!U33+Aout!U33+Sept!U33+Oct!U33+Nov!U33+Dec!U33</f>
        <v>0</v>
      </c>
      <c r="P33" s="116">
        <f>Janvier!X33+Fevrier!V33+Mars!V33+Avril!V33+Mai!V33+Juin!V33+Juillet!V33+Aout!V33+Sept!V33+Oct!V33+Nov!V33+Dec!V33</f>
        <v>121560</v>
      </c>
      <c r="Q33" s="97">
        <f>Janvier!Z33+Fevrier!X33+Mars!X33+Avril!X33+Mai!X33+Juin!X33+Juillet!X33+Aout!X33+Sept!X33+Oct!X33+Nov!X33+Dec!X33</f>
        <v>0</v>
      </c>
      <c r="R33" s="116">
        <f>Janvier!AA33+Fevrier!Y33+Mars!Y33+Avril!Y33+Mai!Y33+Juin!Y33+Juillet!Y33+Aout!Y33+Sept!Y33+Oct!Y33+Nov!Y33+Dec!Y33</f>
        <v>55320</v>
      </c>
      <c r="S33" s="97">
        <f>Janvier!AC33+Fevrier!AA33+Mars!AA33+Avril!AA33+Mai!AA33+Juin!AA33+Juillet!AA33+Aout!AA33+Sept!AA33+Oct!AA33+Nov!AA33+Dec!AA33</f>
        <v>26</v>
      </c>
      <c r="T33" s="116">
        <f>Janvier!AD33+Fevrier!AB33+Mars!AB33+Avril!AB33+Mai!AB33+Juin!AB33+Juillet!AB33+Aout!AB33+Sept!AB33+Oct!AB33+Nov!AB33+Dec!AB33</f>
        <v>27790</v>
      </c>
      <c r="U33" s="97">
        <f>Janvier!AF33+Fevrier!AD33+Mars!AD33+Avril!AD33+Mai!AD33+Juin!AD33+Juillet!AD33+Aout!AD33+Sept!AD33+Oct!AD33+Nov!AD33+Dec!AD33</f>
        <v>97</v>
      </c>
      <c r="V33" s="116">
        <f>Janvier!AG33+Fevrier!AE33+Mars!AE33+Avril!AE33+Mai!AE33+Juin!AE33+Juillet!AE33+Aout!AE33+Sept!AE33+Oct!AE33+Nov!AE33+Dec!AE33</f>
        <v>99640</v>
      </c>
      <c r="W33" s="97">
        <f>Janvier!AI33+Fevrier!AG33+Mars!AG33+Avril!AG33+Mai!AG33+Juin!AG33+Juillet!AG33+Aout!AG33+Sept!AG33+Oct!AG33+Nov!AG33+Dec!AG33</f>
        <v>0</v>
      </c>
      <c r="X33" s="309">
        <f t="shared" si="0"/>
        <v>1.19589866276349</v>
      </c>
      <c r="Y33" s="309">
        <f t="shared" si="1"/>
        <v>1.1264117455861795</v>
      </c>
      <c r="Z33" s="309">
        <f t="shared" si="2"/>
        <v>1.1248646401775562</v>
      </c>
      <c r="AA33" s="309">
        <f t="shared" si="3"/>
        <v>0.33950988450773145</v>
      </c>
      <c r="AB33" s="309">
        <f t="shared" si="4"/>
        <v>0.74617290551600346</v>
      </c>
      <c r="AC33" s="309">
        <f t="shared" si="5"/>
        <v>1.1777042402874627</v>
      </c>
      <c r="AD33" s="309">
        <f t="shared" si="6"/>
        <v>1.2846363578720437</v>
      </c>
      <c r="AE33" s="309">
        <f t="shared" si="7"/>
        <v>1.1692346712320081</v>
      </c>
      <c r="AF33" s="309">
        <f t="shared" si="8"/>
        <v>0.58736499482171922</v>
      </c>
      <c r="AG33" s="310">
        <f t="shared" si="9"/>
        <v>2.105975101980428</v>
      </c>
    </row>
    <row r="34" spans="1:33" thickBot="1" x14ac:dyDescent="0.35">
      <c r="A34" s="184" t="s">
        <v>38</v>
      </c>
      <c r="B34" s="212">
        <v>10780</v>
      </c>
      <c r="C34" s="273">
        <v>10709</v>
      </c>
      <c r="D34" s="116">
        <f>Janvier!F34+Fevrier!D34+Mars!D34+Avril!D34+Mai!D34+Juin!D34+Juillet!D34+Aout!D34+Sept!D34+Oct!D34+Nov!D34+Dec!D34</f>
        <v>15190</v>
      </c>
      <c r="E34" s="97">
        <f>+Janvier!H34+Fevrier!F34+Mars!F34+Avril!F34+Mai!F34+Juin!F34+Juillet!F34+Aout!F34+Sept!F34+Oct!F34+Nov!F34+Dec!F34</f>
        <v>4</v>
      </c>
      <c r="F34" s="116">
        <f>Janvier!I34+Fevrier!G34+Mars!G34+Avril!G34+Mai!G34+Juin!G34+Juillet!G34+Aout!G34+Sept!G34+Oct!G34+Nov!G34+Dec!G34</f>
        <v>42840</v>
      </c>
      <c r="G34" s="97">
        <f>+Janvier!K34+Fevrier!I34+Mars!I34+Avril!I34+Mai!I34+Juin!I34+Juillet!I34+Aout!I34+Sept!I34+Oct!I34+Nov!I34+Dec!I34</f>
        <v>0</v>
      </c>
      <c r="H34" s="116">
        <f>Janvier!L34+Fevrier!J34+Mars!J34+Avril!J34+Mai!J34+Juin!J34+Juillet!J34+Aout!J34+Sept!J34+Oct!J34+Nov!J34+Dec!J34</f>
        <v>31740</v>
      </c>
      <c r="I34" s="97">
        <f>Janvier!N34+Fevrier!L34+Mars!L34+Avril!L34+Mai!L34+Juin!L34+Juillet!L34+Aout!L34+Sept!L34+Oct!L34+Nov!L34+Dec!L34</f>
        <v>0</v>
      </c>
      <c r="J34" s="116">
        <f>Janvier!O34+Fevrier!M34+Mars!M34+Avril!M34+Mai!M34+Juin!M34+Juillet!M34+Aout!M34+Sept!M34+Oct!M34+Nov!M34+Dec!M34</f>
        <v>30948</v>
      </c>
      <c r="K34" s="97">
        <f>Janvier!Q34+Fevrier!O34+Mars!O34+Avril!O34+Mai!O34+Juin!O34+Juillet!O34+Aout!O34+Sept!O34+Oct!O34+Nov!O34+Dec!O34</f>
        <v>0</v>
      </c>
      <c r="L34" s="116">
        <f>Janvier!R34+Fevrier!P34+Mars!P34+Avril!P34+Mai!P34+Juin!P34+Juillet!P34+Aout!P34+Sept!P34+Oct!P34+Nov!P34+Dec!P34</f>
        <v>22774</v>
      </c>
      <c r="M34" s="97">
        <f>Janvier!T34+Fevrier!R34+Mars!R34+Avril!R34+Mai!R34+Juin!R34+Juillet!R34+Aout!R34+Sept!R34+Oct!R34+Nov!R34+Dec!R34</f>
        <v>0</v>
      </c>
      <c r="N34" s="116">
        <f>Janvier!U34+Fevrier!S34+Mars!S34+Avril!S34+Mai!S34+Juin!S34+Juillet!S34+Aout!S34+Sept!S34+Oct!S34+Nov!S34+Dec!S34</f>
        <v>14160</v>
      </c>
      <c r="O34" s="97">
        <f>Janvier!W34+Fevrier!U34+Mars!U34+Avril!U34+Mai!U34+Juin!U34+Juillet!U34+Aout!U34+Sept!U34+Oct!U34+Nov!U34+Dec!U34</f>
        <v>0</v>
      </c>
      <c r="P34" s="116">
        <f>Janvier!X34+Fevrier!V34+Mars!V34+Avril!V34+Mai!V34+Juin!V34+Juillet!V34+Aout!V34+Sept!V34+Oct!V34+Nov!V34+Dec!V34</f>
        <v>20360</v>
      </c>
      <c r="Q34" s="97">
        <f>Janvier!Z34+Fevrier!X34+Mars!X34+Avril!X34+Mai!X34+Juin!X34+Juillet!X34+Aout!X34+Sept!X34+Oct!X34+Nov!X34+Dec!X34</f>
        <v>0</v>
      </c>
      <c r="R34" s="116">
        <f>Janvier!AA34+Fevrier!Y34+Mars!Y34+Avril!Y34+Mai!Y34+Juin!Y34+Juillet!Y34+Aout!Y34+Sept!Y34+Oct!Y34+Nov!Y34+Dec!Y34</f>
        <v>9620</v>
      </c>
      <c r="S34" s="97">
        <f>Janvier!AC34+Fevrier!AA34+Mars!AA34+Avril!AA34+Mai!AA34+Juin!AA34+Juillet!AA34+Aout!AA34+Sept!AA34+Oct!AA34+Nov!AA34+Dec!AA34</f>
        <v>30</v>
      </c>
      <c r="T34" s="116">
        <f>Janvier!AD34+Fevrier!AB34+Mars!AB34+Avril!AB34+Mai!AB34+Juin!AB34+Juillet!AB34+Aout!AB34+Sept!AB34+Oct!AB34+Nov!AB34+Dec!AB34</f>
        <v>6520</v>
      </c>
      <c r="U34" s="97">
        <f>Janvier!AF34+Fevrier!AD34+Mars!AD34+Avril!AD34+Mai!AD34+Juin!AD34+Juillet!AD34+Aout!AD34+Sept!AD34+Oct!AD34+Nov!AD34+Dec!AD34</f>
        <v>31</v>
      </c>
      <c r="V34" s="116">
        <f>Janvier!AG34+Fevrier!AE34+Mars!AE34+Avril!AE34+Mai!AE34+Juin!AE34+Juillet!AE34+Aout!AE34+Sept!AE34+Oct!AE34+Nov!AE34+Dec!AE34</f>
        <v>21690</v>
      </c>
      <c r="W34" s="97">
        <f>Janvier!AI34+Fevrier!AG34+Mars!AG34+Avril!AG34+Mai!AG34+Juin!AG34+Juillet!AG34+Aout!AG34+Sept!AG34+Oct!AG34+Nov!AG34+Dec!AG34</f>
        <v>0</v>
      </c>
      <c r="X34" s="309">
        <f t="shared" si="0"/>
        <v>1.1025750462370181</v>
      </c>
      <c r="Y34" s="309">
        <f t="shared" si="1"/>
        <v>1.0010944738743786</v>
      </c>
      <c r="Z34" s="309">
        <f t="shared" si="2"/>
        <v>0.98894300033528704</v>
      </c>
      <c r="AA34" s="309">
        <f t="shared" si="3"/>
        <v>0.34220597746512177</v>
      </c>
      <c r="AB34" s="309">
        <f t="shared" si="4"/>
        <v>0.70958373943402098</v>
      </c>
      <c r="AC34" s="309">
        <f t="shared" si="5"/>
        <v>1.3235758870271896</v>
      </c>
      <c r="AD34" s="309">
        <f t="shared" si="6"/>
        <v>0.84497981967400215</v>
      </c>
      <c r="AE34" s="309">
        <f t="shared" si="7"/>
        <v>0.79849762920077605</v>
      </c>
      <c r="AF34" s="309">
        <f t="shared" si="8"/>
        <v>0.54118550336684612</v>
      </c>
      <c r="AG34" s="310">
        <f t="shared" si="9"/>
        <v>1.8003548417219162</v>
      </c>
    </row>
    <row r="35" spans="1:33" thickBot="1" x14ac:dyDescent="0.35">
      <c r="A35" s="184" t="s">
        <v>39</v>
      </c>
      <c r="B35" s="212">
        <v>35168</v>
      </c>
      <c r="C35" s="273">
        <v>34937</v>
      </c>
      <c r="D35" s="116">
        <f>Janvier!F35+Fevrier!D35+Mars!D35+Avril!D35+Mai!D35+Juin!D35+Juillet!D35+Aout!D35+Sept!D35+Oct!D35+Nov!D35+Dec!D35</f>
        <v>60900</v>
      </c>
      <c r="E35" s="97">
        <f>+Janvier!H35+Fevrier!F35+Mars!F35+Avril!F35+Mai!F35+Juin!F35+Juillet!F35+Aout!F35+Sept!F35+Oct!F35+Nov!F35+Dec!F35</f>
        <v>4</v>
      </c>
      <c r="F35" s="116">
        <f>Janvier!I35+Fevrier!G35+Mars!G35+Avril!G35+Mai!G35+Juin!G35+Juillet!G35+Aout!G35+Sept!G35+Oct!G35+Nov!G35+Dec!G35</f>
        <v>180940</v>
      </c>
      <c r="G35" s="97">
        <f>+Janvier!K35+Fevrier!I35+Mars!I35+Avril!I35+Mai!I35+Juin!I35+Juillet!I35+Aout!I35+Sept!I35+Oct!I35+Nov!I35+Dec!I35</f>
        <v>0</v>
      </c>
      <c r="H35" s="116">
        <f>Janvier!L35+Fevrier!J35+Mars!J35+Avril!J35+Mai!J35+Juin!J35+Juillet!J35+Aout!J35+Sept!J35+Oct!J35+Nov!J35+Dec!J35</f>
        <v>127470</v>
      </c>
      <c r="I35" s="97">
        <f>Janvier!N35+Fevrier!L35+Mars!L35+Avril!L35+Mai!L35+Juin!L35+Juillet!L35+Aout!L35+Sept!L35+Oct!L35+Nov!L35+Dec!L35</f>
        <v>0</v>
      </c>
      <c r="J35" s="116">
        <f>Janvier!O35+Fevrier!M35+Mars!M35+Avril!M35+Mai!M35+Juin!M35+Juillet!M35+Aout!M35+Sept!M35+Oct!M35+Nov!M35+Dec!M35</f>
        <v>121660</v>
      </c>
      <c r="K35" s="97">
        <f>Janvier!Q35+Fevrier!O35+Mars!O35+Avril!O35+Mai!O35+Juin!O35+Juillet!O35+Aout!O35+Sept!O35+Oct!O35+Nov!O35+Dec!O35</f>
        <v>0</v>
      </c>
      <c r="L35" s="116">
        <f>Janvier!R35+Fevrier!P35+Mars!P35+Avril!P35+Mai!P35+Juin!P35+Juillet!P35+Aout!P35+Sept!P35+Oct!P35+Nov!P35+Dec!P35</f>
        <v>90593</v>
      </c>
      <c r="M35" s="97">
        <f>Janvier!T35+Fevrier!R35+Mars!R35+Avril!R35+Mai!R35+Juin!R35+Juillet!R35+Aout!R35+Sept!R35+Oct!R35+Nov!R35+Dec!R35</f>
        <v>0</v>
      </c>
      <c r="N35" s="116">
        <f>Janvier!U35+Fevrier!S35+Mars!S35+Avril!S35+Mai!S35+Juin!S35+Juillet!S35+Aout!S35+Sept!S35+Oct!S35+Nov!S35+Dec!S35</f>
        <v>45265</v>
      </c>
      <c r="O35" s="97">
        <f>Janvier!W35+Fevrier!U35+Mars!U35+Avril!U35+Mai!U35+Juin!U35+Juillet!U35+Aout!U35+Sept!U35+Oct!U35+Nov!U35+Dec!U35</f>
        <v>0</v>
      </c>
      <c r="P35" s="116">
        <f>Janvier!X35+Fevrier!V35+Mars!V35+Avril!V35+Mai!V35+Juin!V35+Juillet!V35+Aout!V35+Sept!V35+Oct!V35+Nov!V35+Dec!V35</f>
        <v>102810</v>
      </c>
      <c r="Q35" s="97">
        <f>Janvier!Z35+Fevrier!X35+Mars!X35+Avril!X35+Mai!X35+Juin!X35+Juillet!X35+Aout!X35+Sept!X35+Oct!X35+Nov!X35+Dec!X35</f>
        <v>0</v>
      </c>
      <c r="R35" s="116">
        <f>Janvier!AA35+Fevrier!Y35+Mars!Y35+Avril!Y35+Mai!Y35+Juin!Y35+Juillet!Y35+Aout!Y35+Sept!Y35+Oct!Y35+Nov!Y35+Dec!Y35</f>
        <v>48130</v>
      </c>
      <c r="S35" s="97">
        <f>Janvier!AC35+Fevrier!AA35+Mars!AA35+Avril!AA35+Mai!AA35+Juin!AA35+Juillet!AA35+Aout!AA35+Sept!AA35+Oct!AA35+Nov!AA35+Dec!AA35</f>
        <v>26</v>
      </c>
      <c r="T35" s="116">
        <f>Janvier!AD35+Fevrier!AB35+Mars!AB35+Avril!AB35+Mai!AB35+Juin!AB35+Juillet!AB35+Aout!AB35+Sept!AB35+Oct!AB35+Nov!AB35+Dec!AB35</f>
        <v>25790</v>
      </c>
      <c r="U35" s="97">
        <f>Janvier!AF35+Fevrier!AD35+Mars!AD35+Avril!AD35+Mai!AD35+Juin!AD35+Juillet!AD35+Aout!AD35+Sept!AD35+Oct!AD35+Nov!AD35+Dec!AD35</f>
        <v>79</v>
      </c>
      <c r="V35" s="116">
        <f>Janvier!AG35+Fevrier!AE35+Mars!AE35+Avril!AE35+Mai!AE35+Juin!AE35+Juillet!AE35+Aout!AE35+Sept!AE35+Oct!AE35+Nov!AE35+Dec!AE35</f>
        <v>90840</v>
      </c>
      <c r="W35" s="97">
        <f>Janvier!AI35+Fevrier!AG35+Mars!AG35+Avril!AG35+Mai!AG35+Juin!AG35+Juillet!AG35+Aout!AG35+Sept!AG35+Oct!AG35+Nov!AG35+Dec!AG35</f>
        <v>0</v>
      </c>
      <c r="X35" s="309">
        <f t="shared" si="0"/>
        <v>1.3549983553123413</v>
      </c>
      <c r="Y35" s="309">
        <f t="shared" si="1"/>
        <v>1.2960551930698194</v>
      </c>
      <c r="Z35" s="309">
        <f t="shared" si="2"/>
        <v>1.217406546999815</v>
      </c>
      <c r="AA35" s="309">
        <f t="shared" si="3"/>
        <v>0.34960161542440021</v>
      </c>
      <c r="AB35" s="309">
        <f t="shared" si="4"/>
        <v>0.86521151104067018</v>
      </c>
      <c r="AC35" s="309">
        <f t="shared" si="5"/>
        <v>1.2969147411143003</v>
      </c>
      <c r="AD35" s="309">
        <f t="shared" si="6"/>
        <v>1.3078779899056396</v>
      </c>
      <c r="AE35" s="309">
        <f t="shared" si="7"/>
        <v>1.2245534024736588</v>
      </c>
      <c r="AF35" s="309">
        <f t="shared" si="8"/>
        <v>0.65616522438802538</v>
      </c>
      <c r="AG35" s="310">
        <f t="shared" si="9"/>
        <v>2.3112077930751544</v>
      </c>
    </row>
    <row r="36" spans="1:33" thickBot="1" x14ac:dyDescent="0.35">
      <c r="A36" s="184" t="s">
        <v>40</v>
      </c>
      <c r="B36" s="212">
        <v>30141</v>
      </c>
      <c r="C36" s="273">
        <v>29943</v>
      </c>
      <c r="D36" s="116">
        <f>Janvier!F36+Fevrier!D36+Mars!D36+Avril!D36+Mai!D36+Juin!D36+Juillet!D36+Aout!D36+Sept!D36+Oct!D36+Nov!D36+Dec!D36</f>
        <v>49240</v>
      </c>
      <c r="E36" s="97">
        <f>+Janvier!H36+Fevrier!F36+Mars!F36+Avril!F36+Mai!F36+Juin!F36+Juillet!F36+Aout!F36+Sept!F36+Oct!F36+Nov!F36+Dec!F36</f>
        <v>0</v>
      </c>
      <c r="F36" s="116">
        <f>Janvier!I36+Fevrier!G36+Mars!G36+Avril!G36+Mai!G36+Juin!G36+Juillet!G36+Aout!G36+Sept!G36+Oct!G36+Nov!G36+Dec!G36</f>
        <v>172100</v>
      </c>
      <c r="G36" s="97">
        <f>+Janvier!K36+Fevrier!I36+Mars!I36+Avril!I36+Mai!I36+Juin!I36+Juillet!I36+Aout!I36+Sept!I36+Oct!I36+Nov!I36+Dec!I36</f>
        <v>0</v>
      </c>
      <c r="H36" s="116">
        <f>Janvier!L36+Fevrier!J36+Mars!J36+Avril!J36+Mai!J36+Juin!J36+Juillet!J36+Aout!J36+Sept!J36+Oct!J36+Nov!J36+Dec!J36</f>
        <v>120880</v>
      </c>
      <c r="I36" s="97">
        <f>Janvier!N36+Fevrier!L36+Mars!L36+Avril!L36+Mai!L36+Juin!L36+Juillet!L36+Aout!L36+Sept!L36+Oct!L36+Nov!L36+Dec!L36</f>
        <v>0</v>
      </c>
      <c r="J36" s="116">
        <f>Janvier!O36+Fevrier!M36+Mars!M36+Avril!M36+Mai!M36+Juin!M36+Juillet!M36+Aout!M36+Sept!M36+Oct!M36+Nov!M36+Dec!M36</f>
        <v>121268</v>
      </c>
      <c r="K36" s="97">
        <f>Janvier!Q36+Fevrier!O36+Mars!O36+Avril!O36+Mai!O36+Juin!O36+Juillet!O36+Aout!O36+Sept!O36+Oct!O36+Nov!O36+Dec!O36</f>
        <v>0</v>
      </c>
      <c r="L36" s="116">
        <f>Janvier!R36+Fevrier!P36+Mars!P36+Avril!P36+Mai!P36+Juin!P36+Juillet!P36+Aout!P36+Sept!P36+Oct!P36+Nov!P36+Dec!P36</f>
        <v>83400</v>
      </c>
      <c r="M36" s="97">
        <f>Janvier!T36+Fevrier!R36+Mars!R36+Avril!R36+Mai!R36+Juin!R36+Juillet!R36+Aout!R36+Sept!R36+Oct!R36+Nov!R36+Dec!R36</f>
        <v>0</v>
      </c>
      <c r="N36" s="116">
        <f>Janvier!U36+Fevrier!S36+Mars!S36+Avril!S36+Mai!S36+Juin!S36+Juillet!S36+Aout!S36+Sept!S36+Oct!S36+Nov!S36+Dec!S36</f>
        <v>43660</v>
      </c>
      <c r="O36" s="97">
        <f>Janvier!W36+Fevrier!U36+Mars!U36+Avril!U36+Mai!U36+Juin!U36+Juillet!U36+Aout!U36+Sept!U36+Oct!U36+Nov!U36+Dec!U36</f>
        <v>0</v>
      </c>
      <c r="P36" s="116">
        <f>Janvier!X36+Fevrier!V36+Mars!V36+Avril!V36+Mai!V36+Juin!V36+Juillet!V36+Aout!V36+Sept!V36+Oct!V36+Nov!V36+Dec!V36</f>
        <v>101440</v>
      </c>
      <c r="Q36" s="97">
        <f>Janvier!Z36+Fevrier!X36+Mars!X36+Avril!X36+Mai!X36+Juin!X36+Juillet!X36+Aout!X36+Sept!X36+Oct!X36+Nov!X36+Dec!X36</f>
        <v>0</v>
      </c>
      <c r="R36" s="116">
        <f>Janvier!AA36+Fevrier!Y36+Mars!Y36+Avril!Y36+Mai!Y36+Juin!Y36+Juillet!Y36+Aout!Y36+Sept!Y36+Oct!Y36+Nov!Y36+Dec!Y36</f>
        <v>46850</v>
      </c>
      <c r="S36" s="97">
        <f>Janvier!AC36+Fevrier!AA36+Mars!AA36+Avril!AA36+Mai!AA36+Juin!AA36+Juillet!AA36+Aout!AA36+Sept!AA36+Oct!AA36+Nov!AA36+Dec!AA36</f>
        <v>0</v>
      </c>
      <c r="T36" s="116">
        <f>Janvier!AD36+Fevrier!AB36+Mars!AB36+Avril!AB36+Mai!AB36+Juin!AB36+Juillet!AB36+Aout!AB36+Sept!AB36+Oct!AB36+Nov!AB36+Dec!AB36</f>
        <v>31140</v>
      </c>
      <c r="U36" s="97">
        <f>Janvier!AF36+Fevrier!AD36+Mars!AD36+Avril!AD36+Mai!AD36+Juin!AD36+Juillet!AD36+Aout!AD36+Sept!AD36+Oct!AD36+Nov!AD36+Dec!AD36</f>
        <v>72</v>
      </c>
      <c r="V36" s="116">
        <f>Janvier!AG36+Fevrier!AE36+Mars!AE36+Avril!AE36+Mai!AE36+Juin!AE36+Juillet!AE36+Aout!AE36+Sept!AE36+Oct!AE36+Nov!AE36+Dec!AE36</f>
        <v>76750</v>
      </c>
      <c r="W36" s="97">
        <f>Janvier!AI36+Fevrier!AG36+Mars!AG36+Avril!AG36+Mai!AG36+Juin!AG36+Juillet!AG36+Aout!AG36+Sept!AG36+Oct!AG36+Nov!AG36+Dec!AG36</f>
        <v>0</v>
      </c>
      <c r="X36" s="309">
        <f t="shared" si="0"/>
        <v>1.2782904179256815</v>
      </c>
      <c r="Y36" s="309">
        <f t="shared" si="1"/>
        <v>1.438335105636311</v>
      </c>
      <c r="Z36" s="309">
        <f t="shared" si="2"/>
        <v>1.3470148949782472</v>
      </c>
      <c r="AA36" s="309">
        <f t="shared" si="3"/>
        <v>0.33259942441809603</v>
      </c>
      <c r="AB36" s="309">
        <f t="shared" si="4"/>
        <v>0.92936004501311897</v>
      </c>
      <c r="AC36" s="309">
        <f t="shared" si="5"/>
        <v>1.4595632937148482</v>
      </c>
      <c r="AD36" s="309">
        <f t="shared" si="6"/>
        <v>1.5056755984518733</v>
      </c>
      <c r="AE36" s="309">
        <f t="shared" si="7"/>
        <v>1.3907906503838776</v>
      </c>
      <c r="AF36" s="309">
        <f t="shared" si="8"/>
        <v>0.92442307050061789</v>
      </c>
      <c r="AG36" s="310">
        <f t="shared" si="9"/>
        <v>2.2784030398497888</v>
      </c>
    </row>
    <row r="37" spans="1:33" thickBot="1" x14ac:dyDescent="0.35">
      <c r="A37" s="184" t="s">
        <v>41</v>
      </c>
      <c r="B37" s="212">
        <v>17946</v>
      </c>
      <c r="C37" s="273">
        <v>17828</v>
      </c>
      <c r="D37" s="116">
        <f>Janvier!F37+Fevrier!D37+Mars!D37+Avril!D37+Mai!D37+Juin!D37+Juillet!D37+Aout!D37+Sept!D37+Oct!D37+Nov!D37+Dec!D37</f>
        <v>36680</v>
      </c>
      <c r="E37" s="97">
        <f>+Janvier!H37+Fevrier!F37+Mars!F37+Avril!F37+Mai!F37+Juin!F37+Juillet!F37+Aout!F37+Sept!F37+Oct!F37+Nov!F37+Dec!F37</f>
        <v>0</v>
      </c>
      <c r="F37" s="116">
        <f>Janvier!I37+Fevrier!G37+Mars!G37+Avril!G37+Mai!G37+Juin!G37+Juillet!G37+Aout!G37+Sept!G37+Oct!G37+Nov!G37+Dec!G37</f>
        <v>73280</v>
      </c>
      <c r="G37" s="97">
        <f>+Janvier!K37+Fevrier!I37+Mars!I37+Avril!I37+Mai!I37+Juin!I37+Juillet!I37+Aout!I37+Sept!I37+Oct!I37+Nov!I37+Dec!I37</f>
        <v>0</v>
      </c>
      <c r="H37" s="116">
        <f>Janvier!L37+Fevrier!J37+Mars!J37+Avril!J37+Mai!J37+Juin!J37+Juillet!J37+Aout!J37+Sept!J37+Oct!J37+Nov!J37+Dec!J37</f>
        <v>58310</v>
      </c>
      <c r="I37" s="97">
        <f>Janvier!N37+Fevrier!L37+Mars!L37+Avril!L37+Mai!L37+Juin!L37+Juillet!L37+Aout!L37+Sept!L37+Oct!L37+Nov!L37+Dec!L37</f>
        <v>0</v>
      </c>
      <c r="J37" s="116">
        <f>Janvier!O37+Fevrier!M37+Mars!M37+Avril!M37+Mai!M37+Juin!M37+Juillet!M37+Aout!M37+Sept!M37+Oct!M37+Nov!M37+Dec!M37</f>
        <v>51964</v>
      </c>
      <c r="K37" s="97">
        <f>Janvier!Q37+Fevrier!O37+Mars!O37+Avril!O37+Mai!O37+Juin!O37+Juillet!O37+Aout!O37+Sept!O37+Oct!O37+Nov!O37+Dec!O37</f>
        <v>0</v>
      </c>
      <c r="L37" s="116">
        <f>Janvier!R37+Fevrier!P37+Mars!P37+Avril!P37+Mai!P37+Juin!P37+Juillet!P37+Aout!P37+Sept!P37+Oct!P37+Nov!P37+Dec!P37</f>
        <v>36400</v>
      </c>
      <c r="M37" s="97">
        <f>Janvier!T37+Fevrier!R37+Mars!R37+Avril!R37+Mai!R37+Juin!R37+Juillet!R37+Aout!R37+Sept!R37+Oct!R37+Nov!R37+Dec!R37</f>
        <v>0</v>
      </c>
      <c r="N37" s="116">
        <f>Janvier!U37+Fevrier!S37+Mars!S37+Avril!S37+Mai!S37+Juin!S37+Juillet!S37+Aout!S37+Sept!S37+Oct!S37+Nov!S37+Dec!S37</f>
        <v>19990</v>
      </c>
      <c r="O37" s="97">
        <f>Janvier!W37+Fevrier!U37+Mars!U37+Avril!U37+Mai!U37+Juin!U37+Juillet!U37+Aout!U37+Sept!U37+Oct!U37+Nov!U37+Dec!U37</f>
        <v>0</v>
      </c>
      <c r="P37" s="116">
        <f>Janvier!X37+Fevrier!V37+Mars!V37+Avril!V37+Mai!V37+Juin!V37+Juillet!V37+Aout!V37+Sept!V37+Oct!V37+Nov!V37+Dec!V37</f>
        <v>43830</v>
      </c>
      <c r="Q37" s="97">
        <f>Janvier!Z37+Fevrier!X37+Mars!X37+Avril!X37+Mai!X37+Juin!X37+Juillet!X37+Aout!X37+Sept!X37+Oct!X37+Nov!X37+Dec!X37</f>
        <v>0</v>
      </c>
      <c r="R37" s="116">
        <f>Janvier!AA37+Fevrier!Y37+Mars!Y37+Avril!Y37+Mai!Y37+Juin!Y37+Juillet!Y37+Aout!Y37+Sept!Y37+Oct!Y37+Nov!Y37+Dec!Y37</f>
        <v>22060</v>
      </c>
      <c r="S37" s="97">
        <f>Janvier!AC37+Fevrier!AA37+Mars!AA37+Avril!AA37+Mai!AA37+Juin!AA37+Juillet!AA37+Aout!AA37+Sept!AA37+Oct!AA37+Nov!AA37+Dec!AA37</f>
        <v>0</v>
      </c>
      <c r="T37" s="116">
        <f>Janvier!AD37+Fevrier!AB37+Mars!AB37+Avril!AB37+Mai!AB37+Juin!AB37+Juillet!AB37+Aout!AB37+Sept!AB37+Oct!AB37+Nov!AB37+Dec!AB37</f>
        <v>11620</v>
      </c>
      <c r="U37" s="97">
        <f>Janvier!AF37+Fevrier!AD37+Mars!AD37+Avril!AD37+Mai!AD37+Juin!AD37+Juillet!AD37+Aout!AD37+Sept!AD37+Oct!AD37+Nov!AD37+Dec!AD37</f>
        <v>91</v>
      </c>
      <c r="V37" s="116">
        <f>Janvier!AG37+Fevrier!AE37+Mars!AE37+Avril!AE37+Mai!AE37+Juin!AE37+Juillet!AE37+Aout!AE37+Sept!AE37+Oct!AE37+Nov!AE37+Dec!AE37</f>
        <v>40000</v>
      </c>
      <c r="W37" s="97">
        <f>Janvier!AI37+Fevrier!AG37+Mars!AG37+Avril!AG37+Mai!AG37+Juin!AG37+Juillet!AG37+Aout!AG37+Sept!AG37+Oct!AG37+Nov!AG37+Dec!AG37</f>
        <v>0</v>
      </c>
      <c r="X37" s="309">
        <f t="shared" si="0"/>
        <v>1.5993032130646854</v>
      </c>
      <c r="Y37" s="309">
        <f t="shared" si="1"/>
        <v>1.0286256640306448</v>
      </c>
      <c r="Z37" s="309">
        <f t="shared" si="2"/>
        <v>1.0913239168418285</v>
      </c>
      <c r="AA37" s="309">
        <f t="shared" si="3"/>
        <v>0.37441541816365409</v>
      </c>
      <c r="AB37" s="309">
        <f t="shared" si="4"/>
        <v>0.68125862756032518</v>
      </c>
      <c r="AC37" s="309">
        <f t="shared" si="5"/>
        <v>1.1223923048019973</v>
      </c>
      <c r="AD37" s="309">
        <f t="shared" si="6"/>
        <v>1.092663226385461</v>
      </c>
      <c r="AE37" s="309">
        <f t="shared" si="7"/>
        <v>1.0998928028319996</v>
      </c>
      <c r="AF37" s="309">
        <f t="shared" si="8"/>
        <v>0.57936329868122549</v>
      </c>
      <c r="AG37" s="310">
        <f t="shared" si="9"/>
        <v>1.9943659162864906</v>
      </c>
    </row>
    <row r="38" spans="1:33" thickBot="1" x14ac:dyDescent="0.35">
      <c r="A38" s="184" t="s">
        <v>42</v>
      </c>
      <c r="B38" s="212">
        <v>37415</v>
      </c>
      <c r="C38" s="273">
        <v>37170</v>
      </c>
      <c r="D38" s="116">
        <f>Janvier!F38+Fevrier!D38+Mars!D38+Avril!D38+Mai!D38+Juin!D38+Juillet!D38+Aout!D38+Sept!D38+Oct!D38+Nov!D38+Dec!D38</f>
        <v>61640</v>
      </c>
      <c r="E38" s="97">
        <f>+Janvier!H38+Fevrier!F38+Mars!F38+Avril!F38+Mai!F38+Juin!F38+Juillet!F38+Aout!F38+Sept!F38+Oct!F38+Nov!F38+Dec!F38</f>
        <v>0</v>
      </c>
      <c r="F38" s="116">
        <f>Janvier!I38+Fevrier!G38+Mars!G38+Avril!G38+Mai!G38+Juin!G38+Juillet!G38+Aout!G38+Sept!G38+Oct!G38+Nov!G38+Dec!G38</f>
        <v>139060</v>
      </c>
      <c r="G38" s="97">
        <f>+Janvier!K38+Fevrier!I38+Mars!I38+Avril!I38+Mai!I38+Juin!I38+Juillet!I38+Aout!I38+Sept!I38+Oct!I38+Nov!I38+Dec!I38</f>
        <v>0</v>
      </c>
      <c r="H38" s="116">
        <f>Janvier!L38+Fevrier!J38+Mars!J38+Avril!J38+Mai!J38+Juin!J38+Juillet!J38+Aout!J38+Sept!J38+Oct!J38+Nov!J38+Dec!J38</f>
        <v>114090</v>
      </c>
      <c r="I38" s="97">
        <f>Janvier!N38+Fevrier!L38+Mars!L38+Avril!L38+Mai!L38+Juin!L38+Juillet!L38+Aout!L38+Sept!L38+Oct!L38+Nov!L38+Dec!L38</f>
        <v>0</v>
      </c>
      <c r="J38" s="116">
        <f>Janvier!O38+Fevrier!M38+Mars!M38+Avril!M38+Mai!M38+Juin!M38+Juillet!M38+Aout!M38+Sept!M38+Oct!M38+Nov!M38+Dec!M38</f>
        <v>110068</v>
      </c>
      <c r="K38" s="97">
        <f>Janvier!Q38+Fevrier!O38+Mars!O38+Avril!O38+Mai!O38+Juin!O38+Juillet!O38+Aout!O38+Sept!O38+Oct!O38+Nov!O38+Dec!O38</f>
        <v>0</v>
      </c>
      <c r="L38" s="116">
        <f>Janvier!R38+Fevrier!P38+Mars!P38+Avril!P38+Mai!P38+Juin!P38+Juillet!P38+Aout!P38+Sept!P38+Oct!P38+Nov!P38+Dec!P38</f>
        <v>67450</v>
      </c>
      <c r="M38" s="97">
        <f>Janvier!T38+Fevrier!R38+Mars!R38+Avril!R38+Mai!R38+Juin!R38+Juillet!R38+Aout!R38+Sept!R38+Oct!R38+Nov!R38+Dec!R38</f>
        <v>0</v>
      </c>
      <c r="N38" s="116">
        <f>Janvier!U38+Fevrier!S38+Mars!S38+Avril!S38+Mai!S38+Juin!S38+Juillet!S38+Aout!S38+Sept!S38+Oct!S38+Nov!S38+Dec!S38</f>
        <v>42480</v>
      </c>
      <c r="O38" s="97">
        <f>Janvier!W38+Fevrier!U38+Mars!U38+Avril!U38+Mai!U38+Juin!U38+Juillet!U38+Aout!U38+Sept!U38+Oct!U38+Nov!U38+Dec!U38</f>
        <v>0</v>
      </c>
      <c r="P38" s="116">
        <f>Janvier!X38+Fevrier!V38+Mars!V38+Avril!V38+Mai!V38+Juin!V38+Juillet!V38+Aout!V38+Sept!V38+Oct!V38+Nov!V38+Dec!V38</f>
        <v>86350</v>
      </c>
      <c r="Q38" s="97">
        <f>Janvier!Z38+Fevrier!X38+Mars!X38+Avril!X38+Mai!X38+Juin!X38+Juillet!X38+Aout!X38+Sept!X38+Oct!X38+Nov!X38+Dec!X38</f>
        <v>0</v>
      </c>
      <c r="R38" s="116">
        <f>Janvier!AA38+Fevrier!Y38+Mars!Y38+Avril!Y38+Mai!Y38+Juin!Y38+Juillet!Y38+Aout!Y38+Sept!Y38+Oct!Y38+Nov!Y38+Dec!Y38</f>
        <v>55420</v>
      </c>
      <c r="S38" s="97">
        <f>Janvier!AC38+Fevrier!AA38+Mars!AA38+Avril!AA38+Mai!AA38+Juin!AA38+Juillet!AA38+Aout!AA38+Sept!AA38+Oct!AA38+Nov!AA38+Dec!AA38</f>
        <v>0</v>
      </c>
      <c r="T38" s="116">
        <f>Janvier!AD38+Fevrier!AB38+Mars!AB38+Avril!AB38+Mai!AB38+Juin!AB38+Juillet!AB38+Aout!AB38+Sept!AB38+Oct!AB38+Nov!AB38+Dec!AB38</f>
        <v>37410</v>
      </c>
      <c r="U38" s="97">
        <f>Janvier!AF38+Fevrier!AD38+Mars!AD38+Avril!AD38+Mai!AD38+Juin!AD38+Juillet!AD38+Aout!AD38+Sept!AD38+Oct!AD38+Nov!AD38+Dec!AD38</f>
        <v>66</v>
      </c>
      <c r="V38" s="116">
        <f>Janvier!AG38+Fevrier!AE38+Mars!AE38+Avril!AE38+Mai!AE38+Juin!AE38+Juillet!AE38+Aout!AE38+Sept!AE38+Oct!AE38+Nov!AE38+Dec!AE38</f>
        <v>71290</v>
      </c>
      <c r="W38" s="97">
        <f>Janvier!AI38+Fevrier!AG38+Mars!AG38+Avril!AG38+Mai!AG38+Juin!AG38+Juillet!AG38+Aout!AG38+Sept!AG38+Oct!AG38+Nov!AG38+Dec!AG38</f>
        <v>0</v>
      </c>
      <c r="X38" s="309">
        <f t="shared" si="0"/>
        <v>1.2890982732482621</v>
      </c>
      <c r="Y38" s="309">
        <f t="shared" si="1"/>
        <v>0.93623351627118101</v>
      </c>
      <c r="Z38" s="309">
        <f t="shared" si="2"/>
        <v>1.0241610994906662</v>
      </c>
      <c r="AA38" s="309">
        <f t="shared" si="3"/>
        <v>0.34585954199284136</v>
      </c>
      <c r="AB38" s="309">
        <f t="shared" si="4"/>
        <v>0.60548397020462308</v>
      </c>
      <c r="AC38" s="309">
        <f t="shared" si="5"/>
        <v>1.1440011440011439</v>
      </c>
      <c r="AD38" s="309">
        <f t="shared" si="6"/>
        <v>1.0324933488775296</v>
      </c>
      <c r="AE38" s="309">
        <f t="shared" si="7"/>
        <v>1.3253220936836756</v>
      </c>
      <c r="AF38" s="309">
        <f t="shared" si="8"/>
        <v>0.89462828445879294</v>
      </c>
      <c r="AG38" s="310">
        <f t="shared" si="9"/>
        <v>1.7048396257435805</v>
      </c>
    </row>
    <row r="39" spans="1:33" ht="15" thickBot="1" x14ac:dyDescent="0.35">
      <c r="A39" s="184" t="s">
        <v>43</v>
      </c>
      <c r="B39" s="282">
        <v>34639</v>
      </c>
      <c r="C39" s="283">
        <v>34412</v>
      </c>
      <c r="D39" s="300">
        <f>Janvier!F39+Fevrier!D39+Mars!D39+Avril!D39+Mai!D39+Juin!D39+Juillet!D39+Aout!D39+Sept!D39+Oct!D39+Nov!D39+Dec!D39</f>
        <v>40740</v>
      </c>
      <c r="E39" s="261">
        <f>+Janvier!H39+Fevrier!F39+Mars!F39+Avril!F39+Mai!F39+Juin!F39+Juillet!F39+Aout!F39+Sept!F39+Oct!F39+Nov!F39+Dec!F39</f>
        <v>0</v>
      </c>
      <c r="F39" s="300">
        <f>Janvier!I39+Fevrier!G39+Mars!G39+Avril!G39+Mai!G39+Juin!G39+Juillet!G39+Aout!G39+Sept!G39+Oct!G39+Nov!G39+Dec!G39</f>
        <v>114000</v>
      </c>
      <c r="G39" s="261">
        <f>+Janvier!K39+Fevrier!I39+Mars!I39+Avril!I39+Mai!I39+Juin!I39+Juillet!I39+Aout!I39+Sept!I39+Oct!I39+Nov!I39+Dec!I39</f>
        <v>0</v>
      </c>
      <c r="H39" s="300">
        <f>Janvier!L39+Fevrier!J39+Mars!J39+Avril!J39+Mai!J39+Juin!J39+Juillet!J39+Aout!J39+Sept!J39+Oct!J39+Nov!J39+Dec!J39</f>
        <v>78300</v>
      </c>
      <c r="I39" s="261">
        <f>Janvier!N39+Fevrier!L39+Mars!L39+Avril!L39+Mai!L39+Juin!L39+Juillet!L39+Aout!L39+Sept!L39+Oct!L39+Nov!L39+Dec!L39</f>
        <v>0</v>
      </c>
      <c r="J39" s="300">
        <f>Janvier!O39+Fevrier!M39+Mars!M39+Avril!M39+Mai!M39+Juin!M39+Juillet!M39+Aout!M39+Sept!M39+Oct!M39+Nov!M39+Dec!M39</f>
        <v>77812</v>
      </c>
      <c r="K39" s="261">
        <f>Janvier!Q39+Fevrier!O39+Mars!O39+Avril!O39+Mai!O39+Juin!O39+Juillet!O39+Aout!O39+Sept!O39+Oct!O39+Nov!O39+Dec!O39</f>
        <v>0</v>
      </c>
      <c r="L39" s="300">
        <f>Janvier!R39+Fevrier!P39+Mars!P39+Avril!P39+Mai!P39+Juin!P39+Juillet!P39+Aout!P39+Sept!P39+Oct!P39+Nov!P39+Dec!P39</f>
        <v>49350</v>
      </c>
      <c r="M39" s="261">
        <f>Janvier!T39+Fevrier!R39+Mars!R39+Avril!R39+Mai!R39+Juin!R39+Juillet!R39+Aout!R39+Sept!R39+Oct!R39+Nov!R39+Dec!R39</f>
        <v>0</v>
      </c>
      <c r="N39" s="300">
        <f>Janvier!U39+Fevrier!S39+Mars!S39+Avril!S39+Mai!S39+Juin!S39+Juillet!S39+Aout!S39+Sept!S39+Oct!S39+Nov!S39+Dec!S39</f>
        <v>29960</v>
      </c>
      <c r="O39" s="261">
        <f>Janvier!W39+Fevrier!U39+Mars!U39+Avril!U39+Mai!U39+Juin!U39+Juillet!U39+Aout!U39+Sept!U39+Oct!U39+Nov!U39+Dec!U39</f>
        <v>0</v>
      </c>
      <c r="P39" s="300">
        <f>Janvier!X39+Fevrier!V39+Mars!V39+Avril!V39+Mai!V39+Juin!V39+Juillet!V39+Aout!V39+Sept!V39+Oct!V39+Nov!V39+Dec!V39</f>
        <v>65320</v>
      </c>
      <c r="Q39" s="261">
        <f>Janvier!Z39+Fevrier!X39+Mars!X39+Avril!X39+Mai!X39+Juin!X39+Juillet!X39+Aout!X39+Sept!X39+Oct!X39+Nov!X39+Dec!X39</f>
        <v>0</v>
      </c>
      <c r="R39" s="300">
        <f>Janvier!AA39+Fevrier!Y39+Mars!Y39+Avril!Y39+Mai!Y39+Juin!Y39+Juillet!Y39+Aout!Y39+Sept!Y39+Oct!Y39+Nov!Y39+Dec!Y39</f>
        <v>36250</v>
      </c>
      <c r="S39" s="261">
        <f>Janvier!AC39+Fevrier!AA39+Mars!AA39+Avril!AA39+Mai!AA39+Juin!AA39+Juillet!AA39+Aout!AA39+Sept!AA39+Oct!AA39+Nov!AA39+Dec!AA39</f>
        <v>0</v>
      </c>
      <c r="T39" s="300">
        <f>Janvier!AD39+Fevrier!AB39+Mars!AB39+Avril!AB39+Mai!AB39+Juin!AB39+Juillet!AB39+Aout!AB39+Sept!AB39+Oct!AB39+Nov!AB39+Dec!AB39</f>
        <v>25900</v>
      </c>
      <c r="U39" s="261">
        <f>Janvier!AF39+Fevrier!AD39+Mars!AD39+Avril!AD39+Mai!AD39+Juin!AD39+Juillet!AD39+Aout!AD39+Sept!AD39+Oct!AD39+Nov!AD39+Dec!AD39</f>
        <v>51</v>
      </c>
      <c r="V39" s="300">
        <f>Janvier!AG39+Fevrier!AE39+Mars!AE39+Avril!AE39+Mai!AE39+Juin!AE39+Juillet!AE39+Aout!AE39+Sept!AE39+Oct!AE39+Nov!AE39+Dec!AE39</f>
        <v>54330</v>
      </c>
      <c r="W39" s="261">
        <f>Janvier!AI39+Fevrier!AG39+Mars!AG39+Avril!AG39+Mai!AG39+Juin!AG39+Juillet!AG39+Aout!AG39+Sept!AG39+Oct!AG39+Nov!AG39+Dec!AG39</f>
        <v>0</v>
      </c>
      <c r="X39" s="309">
        <f t="shared" si="0"/>
        <v>0.92029025873438808</v>
      </c>
      <c r="Y39" s="309">
        <f t="shared" si="1"/>
        <v>0.82902849379659782</v>
      </c>
      <c r="Z39" s="309">
        <f t="shared" si="2"/>
        <v>0.75921556800320023</v>
      </c>
      <c r="AA39" s="309">
        <f t="shared" si="3"/>
        <v>0.3357596016825955</v>
      </c>
      <c r="AB39" s="309">
        <f t="shared" si="4"/>
        <v>0.47850942887558023</v>
      </c>
      <c r="AC39" s="309">
        <f t="shared" si="5"/>
        <v>0.87149802365424811</v>
      </c>
      <c r="AD39" s="309">
        <f t="shared" si="6"/>
        <v>0.84363335787257676</v>
      </c>
      <c r="AE39" s="309">
        <f t="shared" si="7"/>
        <v>0.93636586720394699</v>
      </c>
      <c r="AF39" s="309">
        <f t="shared" si="8"/>
        <v>0.66901726787813032</v>
      </c>
      <c r="AG39" s="310">
        <f t="shared" si="9"/>
        <v>1.4033864155914604</v>
      </c>
    </row>
    <row r="40" spans="1:33" ht="15" thickBot="1" x14ac:dyDescent="0.35">
      <c r="A40" s="279" t="s">
        <v>88</v>
      </c>
      <c r="B40" s="302">
        <v>187480</v>
      </c>
      <c r="C40" s="299">
        <v>185894</v>
      </c>
      <c r="D40" s="303">
        <f>Janvier!F40+Fevrier!D40+Mars!D40+Avril!D40+Mai!D40+Juin!D40+Juillet!D40+Aout!D40+Sept!D40+Oct!D40+Nov!D40+Dec!D40</f>
        <v>203000</v>
      </c>
      <c r="E40" s="293">
        <f>+Janvier!H40+Fevrier!F40+Mars!F40+Avril!F40+Mai!F40+Juin!F40+Juillet!F40+Aout!F40+Sept!F40+Oct!F40+Nov!F40+Dec!F40</f>
        <v>38</v>
      </c>
      <c r="F40" s="303">
        <f>Janvier!I40+Fevrier!G40+Mars!G40+Avril!G40+Mai!G40+Juin!G40+Juillet!G40+Aout!G40+Sept!G40+Oct!G40+Nov!G40+Dec!G40</f>
        <v>588000</v>
      </c>
      <c r="G40" s="293">
        <f>+Janvier!K40+Fevrier!I40+Mars!I40+Avril!I40+Mai!I40+Juin!I40+Juillet!I40+Aout!I40+Sept!I40+Oct!I40+Nov!I40+Dec!I40</f>
        <v>0</v>
      </c>
      <c r="H40" s="303">
        <f>Janvier!L40+Fevrier!J40+Mars!J40+Avril!J40+Mai!J40+Juin!J40+Juillet!J40+Aout!J40+Sept!J40+Oct!J40+Nov!J40+Dec!J40</f>
        <v>511700</v>
      </c>
      <c r="I40" s="293">
        <f>Janvier!N40+Fevrier!L40+Mars!L40+Avril!L40+Mai!L40+Juin!L40+Juillet!L40+Aout!L40+Sept!L40+Oct!L40+Nov!L40+Dec!L40</f>
        <v>12</v>
      </c>
      <c r="J40" s="303">
        <f>Janvier!O40+Fevrier!M40+Mars!M40+Avril!M40+Mai!M40+Juin!M40+Juillet!M40+Aout!M40+Sept!M40+Oct!M40+Nov!M40+Dec!M40</f>
        <v>475200</v>
      </c>
      <c r="K40" s="293">
        <f>Janvier!Q40+Fevrier!O40+Mars!O40+Avril!O40+Mai!O40+Juin!O40+Juillet!O40+Aout!O40+Sept!O40+Oct!O40+Nov!O40+Dec!O40</f>
        <v>0</v>
      </c>
      <c r="L40" s="303">
        <f>Janvier!R40+Fevrier!P40+Mars!P40+Avril!P40+Mai!P40+Juin!P40+Juillet!P40+Aout!P40+Sept!P40+Oct!P40+Nov!P40+Dec!P40</f>
        <v>296150</v>
      </c>
      <c r="M40" s="293">
        <f>Janvier!T40+Fevrier!R40+Mars!R40+Avril!R40+Mai!R40+Juin!R40+Juillet!R40+Aout!R40+Sept!R40+Oct!R40+Nov!R40+Dec!R40</f>
        <v>0</v>
      </c>
      <c r="N40" s="303">
        <f>Janvier!U40+Fevrier!S40+Mars!S40+Avril!S40+Mai!S40+Juin!S40+Juillet!S40+Aout!S40+Sept!S40+Oct!S40+Nov!S40+Dec!S40</f>
        <v>166000</v>
      </c>
      <c r="O40" s="293">
        <f>Janvier!W40+Fevrier!U40+Mars!U40+Avril!U40+Mai!U40+Juin!U40+Juillet!U40+Aout!U40+Sept!U40+Oct!U40+Nov!U40+Dec!U40</f>
        <v>12</v>
      </c>
      <c r="P40" s="303">
        <f>Janvier!X40+Fevrier!V40+Mars!V40+Avril!V40+Mai!V40+Juin!V40+Juillet!V40+Aout!V40+Sept!V40+Oct!V40+Nov!V40+Dec!V40</f>
        <v>298000</v>
      </c>
      <c r="Q40" s="293">
        <f>Janvier!Z40+Fevrier!X40+Mars!X40+Avril!X40+Mai!X40+Juin!X40+Juillet!X40+Aout!X40+Sept!X40+Oct!X40+Nov!X40+Dec!X40</f>
        <v>0</v>
      </c>
      <c r="R40" s="303">
        <f>Janvier!AA40+Fevrier!Y40+Mars!Y40+Avril!Y40+Mai!Y40+Juin!Y40+Juillet!Y40+Aout!Y40+Sept!Y40+Oct!Y40+Nov!Y40+Dec!Y40</f>
        <v>213100</v>
      </c>
      <c r="S40" s="293">
        <f>Janvier!AC40+Fevrier!AA40+Mars!AA40+Avril!AA40+Mai!AA40+Juin!AA40+Juillet!AA40+Aout!AA40+Sept!AA40+Oct!AA40+Nov!AA40+Dec!AA40</f>
        <v>72</v>
      </c>
      <c r="T40" s="303">
        <f>Janvier!AD40+Fevrier!AB40+Mars!AB40+Avril!AB40+Mai!AB40+Juin!AB40+Juillet!AB40+Aout!AB40+Sept!AB40+Oct!AB40+Nov!AB40+Dec!AB40</f>
        <v>198000</v>
      </c>
      <c r="U40" s="293">
        <f>Janvier!AF40+Fevrier!AD40+Mars!AD40+Avril!AD40+Mai!AD40+Juin!AD40+Juillet!AD40+Aout!AD40+Sept!AD40+Oct!AD40+Nov!AD40+Dec!AD40</f>
        <v>102</v>
      </c>
      <c r="V40" s="303">
        <f>Janvier!AG40+Fevrier!AE40+Mars!AE40+Avril!AE40+Mai!AE40+Juin!AE40+Juillet!AE40+Aout!AE40+Sept!AE40+Oct!AE40+Nov!AE40+Dec!AE40</f>
        <v>284100</v>
      </c>
      <c r="W40" s="293">
        <f>Janvier!AI40+Fevrier!AG40+Mars!AG40+Avril!AG40+Mai!AG40+Juin!AG40+Juillet!AG40+Aout!AG40+Sept!AG40+Oct!AG40+Nov!AG40+Dec!AG40</f>
        <v>12</v>
      </c>
      <c r="X40" s="309">
        <f t="shared" si="0"/>
        <v>0.84724738922595144</v>
      </c>
      <c r="Y40" s="309">
        <f t="shared" si="1"/>
        <v>0.79156480116166805</v>
      </c>
      <c r="Z40" s="309">
        <f t="shared" si="2"/>
        <v>0.91846645976060215</v>
      </c>
      <c r="AA40" s="309">
        <f t="shared" si="3"/>
        <v>0.35929588398724199</v>
      </c>
      <c r="AB40" s="309">
        <f t="shared" si="4"/>
        <v>0.53156897021321536</v>
      </c>
      <c r="AC40" s="309">
        <f t="shared" si="5"/>
        <v>0.89387589791045508</v>
      </c>
      <c r="AD40" s="309">
        <f t="shared" si="6"/>
        <v>0.71247293858029004</v>
      </c>
      <c r="AE40" s="309">
        <f t="shared" si="7"/>
        <v>1.0189797530970457</v>
      </c>
      <c r="AF40" s="309">
        <f t="shared" si="8"/>
        <v>0.94677611972414388</v>
      </c>
      <c r="AG40" s="310">
        <f t="shared" si="9"/>
        <v>1.3584802808769154</v>
      </c>
    </row>
    <row r="41" spans="1:33" x14ac:dyDescent="0.3">
      <c r="A41" s="184" t="s">
        <v>44</v>
      </c>
      <c r="B41" s="301">
        <v>14437</v>
      </c>
      <c r="C41" s="278">
        <v>14315</v>
      </c>
      <c r="D41" s="262">
        <f>Janvier!F41+Fevrier!D41+Mars!D41+Avril!D41+Mai!D41+Juin!D41+Juillet!D41+Aout!D41+Sept!D41+Oct!D41+Nov!D41+Dec!D41</f>
        <v>10780</v>
      </c>
      <c r="E41" s="150">
        <f>+Janvier!H41+Fevrier!F41+Mars!F41+Avril!F41+Mai!F41+Juin!F41+Juillet!F41+Aout!F41+Sept!F41+Oct!F41+Nov!F41+Dec!F41</f>
        <v>0</v>
      </c>
      <c r="F41" s="262">
        <f>Janvier!I41+Fevrier!G41+Mars!G41+Avril!G41+Mai!G41+Juin!G41+Juillet!G41+Aout!G41+Sept!G41+Oct!G41+Nov!G41+Dec!G41</f>
        <v>35260</v>
      </c>
      <c r="G41" s="150">
        <f>+Janvier!K41+Fevrier!I41+Mars!I41+Avril!I41+Mai!I41+Juin!I41+Juillet!I41+Aout!I41+Sept!I41+Oct!I41+Nov!I41+Dec!I41</f>
        <v>0</v>
      </c>
      <c r="H41" s="262">
        <f>Janvier!L41+Fevrier!J41+Mars!J41+Avril!J41+Mai!J41+Juin!J41+Juillet!J41+Aout!J41+Sept!J41+Oct!J41+Nov!J41+Dec!J41</f>
        <v>29430</v>
      </c>
      <c r="I41" s="150">
        <f>Janvier!N41+Fevrier!L41+Mars!L41+Avril!L41+Mai!L41+Juin!L41+Juillet!L41+Aout!L41+Sept!L41+Oct!L41+Nov!L41+Dec!L41</f>
        <v>0</v>
      </c>
      <c r="J41" s="262">
        <f>Janvier!O41+Fevrier!M41+Mars!M41+Avril!M41+Mai!M41+Juin!M41+Juillet!M41+Aout!M41+Sept!M41+Oct!M41+Nov!M41+Dec!M41</f>
        <v>27512</v>
      </c>
      <c r="K41" s="150">
        <f>Janvier!Q41+Fevrier!O41+Mars!O41+Avril!O41+Mai!O41+Juin!O41+Juillet!O41+Aout!O41+Sept!O41+Oct!O41+Nov!O41+Dec!O41</f>
        <v>0</v>
      </c>
      <c r="L41" s="262">
        <f>Janvier!R41+Fevrier!P41+Mars!P41+Avril!P41+Mai!P41+Juin!P41+Juillet!P41+Aout!P41+Sept!P41+Oct!P41+Nov!P41+Dec!P41</f>
        <v>17722</v>
      </c>
      <c r="M41" s="150">
        <f>Janvier!T41+Fevrier!R41+Mars!R41+Avril!R41+Mai!R41+Juin!R41+Juillet!R41+Aout!R41+Sept!R41+Oct!R41+Nov!R41+Dec!R41</f>
        <v>0</v>
      </c>
      <c r="N41" s="262">
        <f>Janvier!U41+Fevrier!S41+Mars!S41+Avril!S41+Mai!S41+Juin!S41+Juillet!S41+Aout!S41+Sept!S41+Oct!S41+Nov!S41+Dec!S41</f>
        <v>8920</v>
      </c>
      <c r="O41" s="150">
        <f>Janvier!W41+Fevrier!U41+Mars!U41+Avril!U41+Mai!U41+Juin!U41+Juillet!U41+Aout!U41+Sept!U41+Oct!U41+Nov!U41+Dec!U41</f>
        <v>0</v>
      </c>
      <c r="P41" s="262">
        <f>Janvier!X41+Fevrier!V41+Mars!V41+Avril!V41+Mai!V41+Juin!V41+Juillet!V41+Aout!V41+Sept!V41+Oct!V41+Nov!V41+Dec!V41</f>
        <v>18720</v>
      </c>
      <c r="Q41" s="150">
        <f>Janvier!Z41+Fevrier!X41+Mars!X41+Avril!X41+Mai!X41+Juin!X41+Juillet!X41+Aout!X41+Sept!X41+Oct!X41+Nov!X41+Dec!X41</f>
        <v>0</v>
      </c>
      <c r="R41" s="262">
        <f>Janvier!AA41+Fevrier!Y41+Mars!Y41+Avril!Y41+Mai!Y41+Juin!Y41+Juillet!Y41+Aout!Y41+Sept!Y41+Oct!Y41+Nov!Y41+Dec!Y41</f>
        <v>8870</v>
      </c>
      <c r="S41" s="150">
        <f>Janvier!AC41+Fevrier!AA41+Mars!AA41+Avril!AA41+Mai!AA41+Juin!AA41+Juillet!AA41+Aout!AA41+Sept!AA41+Oct!AA41+Nov!AA41+Dec!AA41</f>
        <v>57</v>
      </c>
      <c r="T41" s="262">
        <f>Janvier!AD41+Fevrier!AB41+Mars!AB41+Avril!AB41+Mai!AB41+Juin!AB41+Juillet!AB41+Aout!AB41+Sept!AB41+Oct!AB41+Nov!AB41+Dec!AB41</f>
        <v>5680</v>
      </c>
      <c r="U41" s="150">
        <f>Janvier!AF41+Fevrier!AD41+Mars!AD41+Avril!AD41+Mai!AD41+Juin!AD41+Juillet!AD41+Aout!AD41+Sept!AD41+Oct!AD41+Nov!AD41+Dec!AD41</f>
        <v>93</v>
      </c>
      <c r="V41" s="262">
        <f>Janvier!AG41+Fevrier!AE41+Mars!AE41+Avril!AE41+Mai!AE41+Juin!AE41+Juillet!AE41+Aout!AE41+Sept!AE41+Oct!AE41+Nov!AE41+Dec!AE41</f>
        <v>19980</v>
      </c>
      <c r="W41" s="150">
        <f>Janvier!AI41+Fevrier!AG41+Mars!AG41+Avril!AG41+Mai!AG41+Juin!AG41+Juillet!AG41+Aout!AG41+Sept!AG41+Oct!AG41+Nov!AG41+Dec!AG41</f>
        <v>0</v>
      </c>
      <c r="X41" s="309">
        <f t="shared" si="0"/>
        <v>0.58426645238504826</v>
      </c>
      <c r="Y41" s="309">
        <f t="shared" si="1"/>
        <v>0.61640403938692445</v>
      </c>
      <c r="Z41" s="309">
        <f t="shared" si="2"/>
        <v>0.68598112607892558</v>
      </c>
      <c r="AA41" s="309">
        <f t="shared" si="3"/>
        <v>0.3569286064197375</v>
      </c>
      <c r="AB41" s="309">
        <f t="shared" si="4"/>
        <v>0.41308044568028268</v>
      </c>
      <c r="AC41" s="309">
        <f t="shared" si="5"/>
        <v>0.62374634501773862</v>
      </c>
      <c r="AD41" s="309">
        <f t="shared" si="6"/>
        <v>0.58120852252881594</v>
      </c>
      <c r="AE41" s="309">
        <f t="shared" si="7"/>
        <v>0.55078200799472188</v>
      </c>
      <c r="AF41" s="309">
        <f t="shared" si="8"/>
        <v>0.35269918888500795</v>
      </c>
      <c r="AG41" s="310">
        <f t="shared" si="9"/>
        <v>1.2406566538595878</v>
      </c>
    </row>
    <row r="42" spans="1:33" x14ac:dyDescent="0.3">
      <c r="A42" s="184" t="s">
        <v>45</v>
      </c>
      <c r="B42" s="218">
        <v>4072</v>
      </c>
      <c r="C42" s="273">
        <v>4038</v>
      </c>
      <c r="D42" s="107">
        <f>Janvier!F42+Fevrier!D42+Mars!D42+Avril!D42+Mai!D42+Juin!D42+Juillet!D42+Aout!D42+Sept!D42+Oct!D42+Nov!D42+Dec!D42</f>
        <v>3640</v>
      </c>
      <c r="E42" s="97">
        <f>+Janvier!H42+Fevrier!F42+Mars!F42+Avril!F42+Mai!F42+Juin!F42+Juillet!F42+Aout!F42+Sept!F42+Oct!F42+Nov!F42+Dec!F42</f>
        <v>0</v>
      </c>
      <c r="F42" s="107">
        <f>Janvier!I42+Fevrier!G42+Mars!G42+Avril!G42+Mai!G42+Juin!G42+Juillet!G42+Aout!G42+Sept!G42+Oct!G42+Nov!G42+Dec!G42</f>
        <v>10330</v>
      </c>
      <c r="G42" s="97">
        <f>+Janvier!K42+Fevrier!I42+Mars!I42+Avril!I42+Mai!I42+Juin!I42+Juillet!I42+Aout!I42+Sept!I42+Oct!I42+Nov!I42+Dec!I42</f>
        <v>0</v>
      </c>
      <c r="H42" s="107">
        <f>Janvier!L42+Fevrier!J42+Mars!J42+Avril!J42+Mai!J42+Juin!J42+Juillet!J42+Aout!J42+Sept!J42+Oct!J42+Nov!J42+Dec!J42</f>
        <v>7150</v>
      </c>
      <c r="I42" s="97">
        <f>Janvier!N42+Fevrier!L42+Mars!L42+Avril!L42+Mai!L42+Juin!L42+Juillet!L42+Aout!L42+Sept!L42+Oct!L42+Nov!L42+Dec!L42</f>
        <v>4</v>
      </c>
      <c r="J42" s="107">
        <f>Janvier!O42+Fevrier!M42+Mars!M42+Avril!M42+Mai!M42+Juin!M42+Juillet!M42+Aout!M42+Sept!M42+Oct!M42+Nov!M42+Dec!M42</f>
        <v>7934</v>
      </c>
      <c r="K42" s="97">
        <f>Janvier!Q42+Fevrier!O42+Mars!O42+Avril!O42+Mai!O42+Juin!O42+Juillet!O42+Aout!O42+Sept!O42+Oct!O42+Nov!O42+Dec!O42</f>
        <v>0</v>
      </c>
      <c r="L42" s="107">
        <f>Janvier!R42+Fevrier!P42+Mars!P42+Avril!P42+Mai!P42+Juin!P42+Juillet!P42+Aout!P42+Sept!P42+Oct!P42+Nov!P42+Dec!P42</f>
        <v>5126</v>
      </c>
      <c r="M42" s="97">
        <f>Janvier!T42+Fevrier!R42+Mars!R42+Avril!R42+Mai!R42+Juin!R42+Juillet!R42+Aout!R42+Sept!R42+Oct!R42+Nov!R42+Dec!R42</f>
        <v>13</v>
      </c>
      <c r="N42" s="107">
        <f>Janvier!U42+Fevrier!S42+Mars!S42+Avril!S42+Mai!S42+Juin!S42+Juillet!S42+Aout!S42+Sept!S42+Oct!S42+Nov!S42+Dec!S42</f>
        <v>2680</v>
      </c>
      <c r="O42" s="97">
        <f>Janvier!W42+Fevrier!U42+Mars!U42+Avril!U42+Mai!U42+Juin!U42+Juillet!U42+Aout!U42+Sept!U42+Oct!U42+Nov!U42+Dec!U42</f>
        <v>0</v>
      </c>
      <c r="P42" s="107">
        <f>Janvier!X42+Fevrier!V42+Mars!V42+Avril!V42+Mai!V42+Juin!V42+Juillet!V42+Aout!V42+Sept!V42+Oct!V42+Nov!V42+Dec!V42</f>
        <v>4080</v>
      </c>
      <c r="Q42" s="97">
        <f>Janvier!Z42+Fevrier!X42+Mars!X42+Avril!X42+Mai!X42+Juin!X42+Juillet!X42+Aout!X42+Sept!X42+Oct!X42+Nov!X42+Dec!X42</f>
        <v>0</v>
      </c>
      <c r="R42" s="107">
        <f>Janvier!AA42+Fevrier!Y42+Mars!Y42+Avril!Y42+Mai!Y42+Juin!Y42+Juillet!Y42+Aout!Y42+Sept!Y42+Oct!Y42+Nov!Y42+Dec!Y42</f>
        <v>2580</v>
      </c>
      <c r="S42" s="97">
        <f>Janvier!AC42+Fevrier!AA42+Mars!AA42+Avril!AA42+Mai!AA42+Juin!AA42+Juillet!AA42+Aout!AA42+Sept!AA42+Oct!AA42+Nov!AA42+Dec!AA42</f>
        <v>65</v>
      </c>
      <c r="T42" s="107">
        <f>Janvier!AD42+Fevrier!AB42+Mars!AB42+Avril!AB42+Mai!AB42+Juin!AB42+Juillet!AB42+Aout!AB42+Sept!AB42+Oct!AB42+Nov!AB42+Dec!AB42</f>
        <v>2460</v>
      </c>
      <c r="U42" s="97">
        <f>Janvier!AF42+Fevrier!AD42+Mars!AD42+Avril!AD42+Mai!AD42+Juin!AD42+Juillet!AD42+Aout!AD42+Sept!AD42+Oct!AD42+Nov!AD42+Dec!AD42</f>
        <v>91</v>
      </c>
      <c r="V42" s="107">
        <f>Janvier!AG42+Fevrier!AE42+Mars!AE42+Avril!AE42+Mai!AE42+Juin!AE42+Juillet!AE42+Aout!AE42+Sept!AE42+Oct!AE42+Nov!AE42+Dec!AE42</f>
        <v>4870</v>
      </c>
      <c r="W42" s="97">
        <f>Janvier!AI42+Fevrier!AG42+Mars!AG42+Avril!AG42+Mai!AG42+Juin!AG42+Juillet!AG42+Aout!AG42+Sept!AG42+Oct!AG42+Nov!AG42+Dec!AG42</f>
        <v>4</v>
      </c>
      <c r="X42" s="309">
        <f t="shared" si="0"/>
        <v>0.69945980181459866</v>
      </c>
      <c r="Y42" s="309">
        <f t="shared" si="1"/>
        <v>0.64018947129397841</v>
      </c>
      <c r="Z42" s="309">
        <f t="shared" si="2"/>
        <v>0.59081700158140626</v>
      </c>
      <c r="AA42" s="309">
        <f t="shared" si="3"/>
        <v>0.30069562041665221</v>
      </c>
      <c r="AB42" s="309">
        <f t="shared" si="4"/>
        <v>0.42357034267220822</v>
      </c>
      <c r="AC42" s="309">
        <f t="shared" si="5"/>
        <v>0.66435925772230864</v>
      </c>
      <c r="AD42" s="309">
        <f t="shared" si="6"/>
        <v>0.44906719498101372</v>
      </c>
      <c r="AE42" s="309">
        <f t="shared" si="7"/>
        <v>0.56793792306422319</v>
      </c>
      <c r="AF42" s="309">
        <f t="shared" si="8"/>
        <v>0.54152220571239884</v>
      </c>
      <c r="AG42" s="310">
        <f t="shared" si="9"/>
        <v>1.0720378625282043</v>
      </c>
    </row>
    <row r="43" spans="1:33" x14ac:dyDescent="0.3">
      <c r="A43" s="184" t="s">
        <v>46</v>
      </c>
      <c r="B43" s="218">
        <v>25086</v>
      </c>
      <c r="C43" s="273">
        <v>24874</v>
      </c>
      <c r="D43" s="107">
        <f>Janvier!F43+Fevrier!D43+Mars!D43+Avril!D43+Mai!D43+Juin!D43+Juillet!D43+Aout!D43+Sept!D43+Oct!D43+Nov!D43+Dec!D43</f>
        <v>21980</v>
      </c>
      <c r="E43" s="97">
        <f>+Janvier!H43+Fevrier!F43+Mars!F43+Avril!F43+Mai!F43+Juin!F43+Juillet!F43+Aout!F43+Sept!F43+Oct!F43+Nov!F43+Dec!F43</f>
        <v>18</v>
      </c>
      <c r="F43" s="107">
        <f>Janvier!I43+Fevrier!G43+Mars!G43+Avril!G43+Mai!G43+Juin!G43+Juillet!G43+Aout!G43+Sept!G43+Oct!G43+Nov!G43+Dec!G43</f>
        <v>58980</v>
      </c>
      <c r="G43" s="97">
        <f>+Janvier!K43+Fevrier!I43+Mars!I43+Avril!I43+Mai!I43+Juin!I43+Juillet!I43+Aout!I43+Sept!I43+Oct!I43+Nov!I43+Dec!I43</f>
        <v>0</v>
      </c>
      <c r="H43" s="107">
        <f>Janvier!L43+Fevrier!J43+Mars!J43+Avril!J43+Mai!J43+Juin!J43+Juillet!J43+Aout!J43+Sept!J43+Oct!J43+Nov!J43+Dec!J43</f>
        <v>43250</v>
      </c>
      <c r="I43" s="97">
        <f>Janvier!N43+Fevrier!L43+Mars!L43+Avril!L43+Mai!L43+Juin!L43+Juillet!L43+Aout!L43+Sept!L43+Oct!L43+Nov!L43+Dec!L43</f>
        <v>4</v>
      </c>
      <c r="J43" s="107">
        <f>Janvier!O43+Fevrier!M43+Mars!M43+Avril!M43+Mai!M43+Juin!M43+Juillet!M43+Aout!M43+Sept!M43+Oct!M43+Nov!M43+Dec!M43</f>
        <v>46788</v>
      </c>
      <c r="K43" s="97">
        <f>Janvier!Q43+Fevrier!O43+Mars!O43+Avril!O43+Mai!O43+Juin!O43+Juillet!O43+Aout!O43+Sept!O43+Oct!O43+Nov!O43+Dec!O43</f>
        <v>0</v>
      </c>
      <c r="L43" s="107">
        <f>Janvier!R43+Fevrier!P43+Mars!P43+Avril!P43+Mai!P43+Juin!P43+Juillet!P43+Aout!P43+Sept!P43+Oct!P43+Nov!P43+Dec!P43</f>
        <v>30011</v>
      </c>
      <c r="M43" s="97">
        <f>Janvier!T43+Fevrier!R43+Mars!R43+Avril!R43+Mai!R43+Juin!R43+Juillet!R43+Aout!R43+Sept!R43+Oct!R43+Nov!R43+Dec!R43</f>
        <v>0</v>
      </c>
      <c r="N43" s="107">
        <f>Janvier!U43+Fevrier!S43+Mars!S43+Avril!S43+Mai!S43+Juin!S43+Juillet!S43+Aout!S43+Sept!S43+Oct!S43+Nov!S43+Dec!S43</f>
        <v>15350</v>
      </c>
      <c r="O43" s="97">
        <f>Janvier!W43+Fevrier!U43+Mars!U43+Avril!U43+Mai!U43+Juin!U43+Juillet!U43+Aout!U43+Sept!U43+Oct!U43+Nov!U43+Dec!U43</f>
        <v>0</v>
      </c>
      <c r="P43" s="107">
        <f>Janvier!X43+Fevrier!V43+Mars!V43+Avril!V43+Mai!V43+Juin!V43+Juillet!V43+Aout!V43+Sept!V43+Oct!V43+Nov!V43+Dec!V43</f>
        <v>30860</v>
      </c>
      <c r="Q43" s="97">
        <f>Janvier!Z43+Fevrier!X43+Mars!X43+Avril!X43+Mai!X43+Juin!X43+Juillet!X43+Aout!X43+Sept!X43+Oct!X43+Nov!X43+Dec!X43</f>
        <v>0</v>
      </c>
      <c r="R43" s="107">
        <f>Janvier!AA43+Fevrier!Y43+Mars!Y43+Avril!Y43+Mai!Y43+Juin!Y43+Juillet!Y43+Aout!Y43+Sept!Y43+Oct!Y43+Nov!Y43+Dec!Y43</f>
        <v>14170</v>
      </c>
      <c r="S43" s="97">
        <f>Janvier!AC43+Fevrier!AA43+Mars!AA43+Avril!AA43+Mai!AA43+Juin!AA43+Juillet!AA43+Aout!AA43+Sept!AA43+Oct!AA43+Nov!AA43+Dec!AA43</f>
        <v>62</v>
      </c>
      <c r="T43" s="107">
        <f>Janvier!AD43+Fevrier!AB43+Mars!AB43+Avril!AB43+Mai!AB43+Juin!AB43+Juillet!AB43+Aout!AB43+Sept!AB43+Oct!AB43+Nov!AB43+Dec!AB43</f>
        <v>14710</v>
      </c>
      <c r="U43" s="97">
        <f>Janvier!AF43+Fevrier!AD43+Mars!AD43+Avril!AD43+Mai!AD43+Juin!AD43+Juillet!AD43+Aout!AD43+Sept!AD43+Oct!AD43+Nov!AD43+Dec!AD43</f>
        <v>88</v>
      </c>
      <c r="V43" s="107">
        <f>Janvier!AG43+Fevrier!AE43+Mars!AE43+Avril!AE43+Mai!AE43+Juin!AE43+Juillet!AE43+Aout!AE43+Sept!AE43+Oct!AE43+Nov!AE43+Dec!AE43</f>
        <v>28830</v>
      </c>
      <c r="W43" s="97">
        <f>Janvier!AI43+Fevrier!AG43+Mars!AG43+Avril!AG43+Mai!AG43+Juin!AG43+Juillet!AG43+Aout!AG43+Sept!AG43+Oct!AG43+Nov!AG43+Dec!AG43</f>
        <v>4</v>
      </c>
      <c r="X43" s="309">
        <f t="shared" si="0"/>
        <v>0.6855914870373303</v>
      </c>
      <c r="Y43" s="309">
        <f t="shared" si="1"/>
        <v>0.59338103078554949</v>
      </c>
      <c r="Z43" s="309">
        <f t="shared" si="2"/>
        <v>0.58016795708093172</v>
      </c>
      <c r="AA43" s="309">
        <f t="shared" si="3"/>
        <v>0.30843587596031236</v>
      </c>
      <c r="AB43" s="309">
        <f t="shared" si="4"/>
        <v>0.40257619791805416</v>
      </c>
      <c r="AC43" s="309">
        <f t="shared" si="5"/>
        <v>0.61772796355091109</v>
      </c>
      <c r="AD43" s="309">
        <f t="shared" si="6"/>
        <v>0.55140128469709548</v>
      </c>
      <c r="AE43" s="309">
        <f t="shared" si="7"/>
        <v>0.50637434894088418</v>
      </c>
      <c r="AF43" s="309">
        <f t="shared" si="8"/>
        <v>0.52567160712211758</v>
      </c>
      <c r="AG43" s="310">
        <f t="shared" si="9"/>
        <v>1.0302591728980728</v>
      </c>
    </row>
    <row r="44" spans="1:33" x14ac:dyDescent="0.3">
      <c r="A44" s="184" t="s">
        <v>47</v>
      </c>
      <c r="B44" s="218">
        <v>18961</v>
      </c>
      <c r="C44" s="273">
        <v>18801</v>
      </c>
      <c r="D44" s="107">
        <f>Janvier!F44+Fevrier!D44+Mars!D44+Avril!D44+Mai!D44+Juin!D44+Juillet!D44+Aout!D44+Sept!D44+Oct!D44+Nov!D44+Dec!D44</f>
        <v>17440</v>
      </c>
      <c r="E44" s="97">
        <f>+Janvier!H44+Fevrier!F44+Mars!F44+Avril!F44+Mai!F44+Juin!F44+Juillet!F44+Aout!F44+Sept!F44+Oct!F44+Nov!F44+Dec!F44</f>
        <v>0</v>
      </c>
      <c r="F44" s="107">
        <f>Janvier!I44+Fevrier!G44+Mars!G44+Avril!G44+Mai!G44+Juin!G44+Juillet!G44+Aout!G44+Sept!G44+Oct!G44+Nov!G44+Dec!G44</f>
        <v>44680</v>
      </c>
      <c r="G44" s="97">
        <f>+Janvier!K44+Fevrier!I44+Mars!I44+Avril!I44+Mai!I44+Juin!I44+Juillet!I44+Aout!I44+Sept!I44+Oct!I44+Nov!I44+Dec!I44</f>
        <v>0</v>
      </c>
      <c r="H44" s="107">
        <f>Janvier!L44+Fevrier!J44+Mars!J44+Avril!J44+Mai!J44+Juin!J44+Juillet!J44+Aout!J44+Sept!J44+Oct!J44+Nov!J44+Dec!J44</f>
        <v>37020</v>
      </c>
      <c r="I44" s="97">
        <f>Janvier!N44+Fevrier!L44+Mars!L44+Avril!L44+Mai!L44+Juin!L44+Juillet!L44+Aout!L44+Sept!L44+Oct!L44+Nov!L44+Dec!L44</f>
        <v>0</v>
      </c>
      <c r="J44" s="107">
        <f>Janvier!O44+Fevrier!M44+Mars!M44+Avril!M44+Mai!M44+Juin!M44+Juillet!M44+Aout!M44+Sept!M44+Oct!M44+Nov!M44+Dec!M44</f>
        <v>36604</v>
      </c>
      <c r="K44" s="97">
        <f>Janvier!Q44+Fevrier!O44+Mars!O44+Avril!O44+Mai!O44+Juin!O44+Juillet!O44+Aout!O44+Sept!O44+Oct!O44+Nov!O44+Dec!O44</f>
        <v>0</v>
      </c>
      <c r="L44" s="107">
        <f>Janvier!R44+Fevrier!P44+Mars!P44+Avril!P44+Mai!P44+Juin!P44+Juillet!P44+Aout!P44+Sept!P44+Oct!P44+Nov!P44+Dec!P44</f>
        <v>24104</v>
      </c>
      <c r="M44" s="97">
        <f>Janvier!T44+Fevrier!R44+Mars!R44+Avril!R44+Mai!R44+Juin!R44+Juillet!R44+Aout!R44+Sept!R44+Oct!R44+Nov!R44+Dec!R44</f>
        <v>0</v>
      </c>
      <c r="N44" s="107">
        <f>Janvier!U44+Fevrier!S44+Mars!S44+Avril!S44+Mai!S44+Juin!S44+Juillet!S44+Aout!S44+Sept!S44+Oct!S44+Nov!S44+Dec!S44</f>
        <v>12430</v>
      </c>
      <c r="O44" s="97">
        <f>Janvier!W44+Fevrier!U44+Mars!U44+Avril!U44+Mai!U44+Juin!U44+Juillet!U44+Aout!U44+Sept!U44+Oct!U44+Nov!U44+Dec!U44</f>
        <v>0</v>
      </c>
      <c r="P44" s="107">
        <f>Janvier!X44+Fevrier!V44+Mars!V44+Avril!V44+Mai!V44+Juin!V44+Juillet!V44+Aout!V44+Sept!V44+Oct!V44+Nov!V44+Dec!V44</f>
        <v>22830</v>
      </c>
      <c r="Q44" s="97">
        <f>Janvier!Z44+Fevrier!X44+Mars!X44+Avril!X44+Mai!X44+Juin!X44+Juillet!X44+Aout!X44+Sept!X44+Oct!X44+Nov!X44+Dec!X44</f>
        <v>0</v>
      </c>
      <c r="R44" s="107">
        <f>Janvier!AA44+Fevrier!Y44+Mars!Y44+Avril!Y44+Mai!Y44+Juin!Y44+Juillet!Y44+Aout!Y44+Sept!Y44+Oct!Y44+Nov!Y44+Dec!Y44</f>
        <v>10670</v>
      </c>
      <c r="S44" s="97">
        <f>Janvier!AC44+Fevrier!AA44+Mars!AA44+Avril!AA44+Mai!AA44+Juin!AA44+Juillet!AA44+Aout!AA44+Sept!AA44+Oct!AA44+Nov!AA44+Dec!AA44</f>
        <v>68</v>
      </c>
      <c r="T44" s="107">
        <f>Janvier!AD44+Fevrier!AB44+Mars!AB44+Avril!AB44+Mai!AB44+Juin!AB44+Juillet!AB44+Aout!AB44+Sept!AB44+Oct!AB44+Nov!AB44+Dec!AB44</f>
        <v>8310</v>
      </c>
      <c r="U44" s="97">
        <f>Janvier!AF44+Fevrier!AD44+Mars!AD44+Avril!AD44+Mai!AD44+Juin!AD44+Juillet!AD44+Aout!AD44+Sept!AD44+Oct!AD44+Nov!AD44+Dec!AD44</f>
        <v>94</v>
      </c>
      <c r="V44" s="107">
        <f>Janvier!AG44+Fevrier!AE44+Mars!AE44+Avril!AE44+Mai!AE44+Juin!AE44+Juillet!AE44+Aout!AE44+Sept!AE44+Oct!AE44+Nov!AE44+Dec!AE44</f>
        <v>23650</v>
      </c>
      <c r="W44" s="97">
        <f>Janvier!AI44+Fevrier!AG44+Mars!AG44+Avril!AG44+Mai!AG44+Juin!AG44+Juillet!AG44+Aout!AG44+Sept!AG44+Oct!AG44+Nov!AG44+Dec!AG44</f>
        <v>0</v>
      </c>
      <c r="X44" s="309">
        <f t="shared" si="0"/>
        <v>0.7197047823805045</v>
      </c>
      <c r="Y44" s="309">
        <f t="shared" si="1"/>
        <v>0.59471204623058238</v>
      </c>
      <c r="Z44" s="309">
        <f t="shared" si="2"/>
        <v>0.65700507166386635</v>
      </c>
      <c r="AA44" s="309">
        <f t="shared" si="3"/>
        <v>0.33745908513693457</v>
      </c>
      <c r="AB44" s="309">
        <f t="shared" si="4"/>
        <v>0.4277809359099361</v>
      </c>
      <c r="AC44" s="309">
        <f t="shared" si="5"/>
        <v>0.6617968428510419</v>
      </c>
      <c r="AD44" s="309">
        <f t="shared" si="6"/>
        <v>0.53968760526922321</v>
      </c>
      <c r="AE44" s="309">
        <f t="shared" si="7"/>
        <v>0.50446489252935722</v>
      </c>
      <c r="AF44" s="309">
        <f t="shared" si="8"/>
        <v>0.3928869031789089</v>
      </c>
      <c r="AG44" s="310">
        <f t="shared" si="9"/>
        <v>1.1181438339568226</v>
      </c>
    </row>
    <row r="45" spans="1:33" x14ac:dyDescent="0.3">
      <c r="A45" s="184" t="s">
        <v>48</v>
      </c>
      <c r="B45" s="218">
        <v>18988</v>
      </c>
      <c r="C45" s="273">
        <v>18827</v>
      </c>
      <c r="D45" s="107">
        <f>Janvier!F45+Fevrier!D45+Mars!D45+Avril!D45+Mai!D45+Juin!D45+Juillet!D45+Aout!D45+Sept!D45+Oct!D45+Nov!D45+Dec!D45</f>
        <v>16560</v>
      </c>
      <c r="E45" s="97">
        <f>+Janvier!H45+Fevrier!F45+Mars!F45+Avril!F45+Mai!F45+Juin!F45+Juillet!F45+Aout!F45+Sept!F45+Oct!F45+Nov!F45+Dec!F45</f>
        <v>0</v>
      </c>
      <c r="F45" s="107">
        <f>Janvier!I45+Fevrier!G45+Mars!G45+Avril!G45+Mai!G45+Juin!G45+Juillet!G45+Aout!G45+Sept!G45+Oct!G45+Nov!G45+Dec!G45</f>
        <v>47480</v>
      </c>
      <c r="G45" s="97">
        <f>+Janvier!K45+Fevrier!I45+Mars!I45+Avril!I45+Mai!I45+Juin!I45+Juillet!I45+Aout!I45+Sept!I45+Oct!I45+Nov!I45+Dec!I45</f>
        <v>0</v>
      </c>
      <c r="H45" s="107">
        <f>Janvier!L45+Fevrier!J45+Mars!J45+Avril!J45+Mai!J45+Juin!J45+Juillet!J45+Aout!J45+Sept!J45+Oct!J45+Nov!J45+Dec!J45</f>
        <v>36630</v>
      </c>
      <c r="I45" s="97">
        <f>Janvier!N45+Fevrier!L45+Mars!L45+Avril!L45+Mai!L45+Juin!L45+Juillet!L45+Aout!L45+Sept!L45+Oct!L45+Nov!L45+Dec!L45</f>
        <v>0</v>
      </c>
      <c r="J45" s="107">
        <f>Janvier!O45+Fevrier!M45+Mars!M45+Avril!M45+Mai!M45+Juin!M45+Juillet!M45+Aout!M45+Sept!M45+Oct!M45+Nov!M45+Dec!M45</f>
        <v>36280</v>
      </c>
      <c r="K45" s="97">
        <f>Janvier!Q45+Fevrier!O45+Mars!O45+Avril!O45+Mai!O45+Juin!O45+Juillet!O45+Aout!O45+Sept!O45+Oct!O45+Nov!O45+Dec!O45</f>
        <v>0</v>
      </c>
      <c r="L45" s="107">
        <f>Janvier!R45+Fevrier!P45+Mars!P45+Avril!P45+Mai!P45+Juin!P45+Juillet!P45+Aout!P45+Sept!P45+Oct!P45+Nov!P45+Dec!P45</f>
        <v>23827</v>
      </c>
      <c r="M45" s="97">
        <f>Janvier!T45+Fevrier!R45+Mars!R45+Avril!R45+Mai!R45+Juin!R45+Juillet!R45+Aout!R45+Sept!R45+Oct!R45+Nov!R45+Dec!R45</f>
        <v>0</v>
      </c>
      <c r="N45" s="107">
        <f>Janvier!U45+Fevrier!S45+Mars!S45+Avril!S45+Mai!S45+Juin!S45+Juillet!S45+Aout!S45+Sept!S45+Oct!S45+Nov!S45+Dec!S45</f>
        <v>13170</v>
      </c>
      <c r="O45" s="97">
        <f>Janvier!W45+Fevrier!U45+Mars!U45+Avril!U45+Mai!U45+Juin!U45+Juillet!U45+Aout!U45+Sept!U45+Oct!U45+Nov!U45+Dec!U45</f>
        <v>0</v>
      </c>
      <c r="P45" s="107">
        <f>Janvier!X45+Fevrier!V45+Mars!V45+Avril!V45+Mai!V45+Juin!V45+Juillet!V45+Aout!V45+Sept!V45+Oct!V45+Nov!V45+Dec!V45</f>
        <v>23260</v>
      </c>
      <c r="Q45" s="97">
        <f>Janvier!Z45+Fevrier!X45+Mars!X45+Avril!X45+Mai!X45+Juin!X45+Juillet!X45+Aout!X45+Sept!X45+Oct!X45+Nov!X45+Dec!X45</f>
        <v>0</v>
      </c>
      <c r="R45" s="107">
        <f>Janvier!AA45+Fevrier!Y45+Mars!Y45+Avril!Y45+Mai!Y45+Juin!Y45+Juillet!Y45+Aout!Y45+Sept!Y45+Oct!Y45+Nov!Y45+Dec!Y45</f>
        <v>10230</v>
      </c>
      <c r="S45" s="97">
        <f>Janvier!AC45+Fevrier!AA45+Mars!AA45+Avril!AA45+Mai!AA45+Juin!AA45+Juillet!AA45+Aout!AA45+Sept!AA45+Oct!AA45+Nov!AA45+Dec!AA45</f>
        <v>67</v>
      </c>
      <c r="T45" s="107">
        <f>Janvier!AD45+Fevrier!AB45+Mars!AB45+Avril!AB45+Mai!AB45+Juin!AB45+Juillet!AB45+Aout!AB45+Sept!AB45+Oct!AB45+Nov!AB45+Dec!AB45</f>
        <v>7950</v>
      </c>
      <c r="U45" s="97">
        <f>Janvier!AF45+Fevrier!AD45+Mars!AD45+Avril!AD45+Mai!AD45+Juin!AD45+Juillet!AD45+Aout!AD45+Sept!AD45+Oct!AD45+Nov!AD45+Dec!AD45</f>
        <v>93</v>
      </c>
      <c r="V45" s="107">
        <f>Janvier!AG45+Fevrier!AE45+Mars!AE45+Avril!AE45+Mai!AE45+Juin!AE45+Juillet!AE45+Aout!AE45+Sept!AE45+Oct!AE45+Nov!AE45+Dec!AE45</f>
        <v>22670</v>
      </c>
      <c r="W45" s="97">
        <f>Janvier!AI45+Fevrier!AG45+Mars!AG45+Avril!AG45+Mai!AG45+Juin!AG45+Juillet!AG45+Aout!AG45+Sept!AG45+Oct!AG45+Nov!AG45+Dec!AG45</f>
        <v>0</v>
      </c>
      <c r="X45" s="309">
        <f t="shared" si="0"/>
        <v>0.68241765740853377</v>
      </c>
      <c r="Y45" s="309">
        <f t="shared" si="1"/>
        <v>0.63110861432420884</v>
      </c>
      <c r="Z45" s="309">
        <f t="shared" si="2"/>
        <v>0.64918586191226546</v>
      </c>
      <c r="AA45" s="309">
        <f t="shared" si="3"/>
        <v>0.33688594879333578</v>
      </c>
      <c r="AB45" s="309">
        <f t="shared" si="4"/>
        <v>0.42228095909864999</v>
      </c>
      <c r="AC45" s="309">
        <f t="shared" si="5"/>
        <v>0.70022750216089558</v>
      </c>
      <c r="AD45" s="309">
        <f t="shared" si="6"/>
        <v>0.54909320538470163</v>
      </c>
      <c r="AE45" s="309">
        <f t="shared" si="7"/>
        <v>0.48299428126272553</v>
      </c>
      <c r="AF45" s="309">
        <f t="shared" si="8"/>
        <v>0.37534746197836438</v>
      </c>
      <c r="AG45" s="310">
        <f t="shared" si="9"/>
        <v>1.0703304356037133</v>
      </c>
    </row>
    <row r="46" spans="1:33" x14ac:dyDescent="0.3">
      <c r="A46" s="184" t="s">
        <v>49</v>
      </c>
      <c r="B46" s="218">
        <v>17624</v>
      </c>
      <c r="C46" s="273">
        <v>17475</v>
      </c>
      <c r="D46" s="107">
        <f>Janvier!F46+Fevrier!D46+Mars!D46+Avril!D46+Mai!D46+Juin!D46+Juillet!D46+Aout!D46+Sept!D46+Oct!D46+Nov!D46+Dec!D46</f>
        <v>15540</v>
      </c>
      <c r="E46" s="97">
        <f>+Janvier!H46+Fevrier!F46+Mars!F46+Avril!F46+Mai!F46+Juin!F46+Juillet!F46+Aout!F46+Sept!F46+Oct!F46+Nov!F46+Dec!F46</f>
        <v>0</v>
      </c>
      <c r="F46" s="107">
        <f>Janvier!I46+Fevrier!G46+Mars!G46+Avril!G46+Mai!G46+Juin!G46+Juillet!G46+Aout!G46+Sept!G46+Oct!G46+Nov!G46+Dec!G46</f>
        <v>42880</v>
      </c>
      <c r="G46" s="97">
        <f>+Janvier!K46+Fevrier!I46+Mars!I46+Avril!I46+Mai!I46+Juin!I46+Juillet!I46+Aout!I46+Sept!I46+Oct!I46+Nov!I46+Dec!I46</f>
        <v>0</v>
      </c>
      <c r="H46" s="107">
        <f>Janvier!L46+Fevrier!J46+Mars!J46+Avril!J46+Mai!J46+Juin!J46+Juillet!J46+Aout!J46+Sept!J46+Oct!J46+Nov!J46+Dec!J46</f>
        <v>30520</v>
      </c>
      <c r="I46" s="97">
        <f>Janvier!N46+Fevrier!L46+Mars!L46+Avril!L46+Mai!L46+Juin!L46+Juillet!L46+Aout!L46+Sept!L46+Oct!L46+Nov!L46+Dec!L46</f>
        <v>4</v>
      </c>
      <c r="J46" s="107">
        <f>Janvier!O46+Fevrier!M46+Mars!M46+Avril!M46+Mai!M46+Juin!M46+Juillet!M46+Aout!M46+Sept!M46+Oct!M46+Nov!M46+Dec!M46</f>
        <v>32488</v>
      </c>
      <c r="K46" s="97">
        <f>Janvier!Q46+Fevrier!O46+Mars!O46+Avril!O46+Mai!O46+Juin!O46+Juillet!O46+Aout!O46+Sept!O46+Oct!O46+Nov!O46+Dec!O46</f>
        <v>4</v>
      </c>
      <c r="L46" s="107">
        <f>Janvier!R46+Fevrier!P46+Mars!P46+Avril!P46+Mai!P46+Juin!P46+Juillet!P46+Aout!P46+Sept!P46+Oct!P46+Nov!P46+Dec!P46</f>
        <v>21437</v>
      </c>
      <c r="M46" s="97">
        <f>Janvier!T46+Fevrier!R46+Mars!R46+Avril!R46+Mai!R46+Juin!R46+Juillet!R46+Aout!R46+Sept!R46+Oct!R46+Nov!R46+Dec!R46</f>
        <v>0</v>
      </c>
      <c r="N46" s="107">
        <f>Janvier!U46+Fevrier!S46+Mars!S46+Avril!S46+Mai!S46+Juin!S46+Juillet!S46+Aout!S46+Sept!S46+Oct!S46+Nov!S46+Dec!S46</f>
        <v>11190</v>
      </c>
      <c r="O46" s="97">
        <f>Janvier!W46+Fevrier!U46+Mars!U46+Avril!U46+Mai!U46+Juin!U46+Juillet!U46+Aout!U46+Sept!U46+Oct!U46+Nov!U46+Dec!U46</f>
        <v>0</v>
      </c>
      <c r="P46" s="107">
        <f>Janvier!X46+Fevrier!V46+Mars!V46+Avril!V46+Mai!V46+Juin!V46+Juillet!V46+Aout!V46+Sept!V46+Oct!V46+Nov!V46+Dec!V46</f>
        <v>17210</v>
      </c>
      <c r="Q46" s="97">
        <f>Janvier!Z46+Fevrier!X46+Mars!X46+Avril!X46+Mai!X46+Juin!X46+Juillet!X46+Aout!X46+Sept!X46+Oct!X46+Nov!X46+Dec!X46</f>
        <v>0</v>
      </c>
      <c r="R46" s="107">
        <f>Janvier!AA46+Fevrier!Y46+Mars!Y46+Avril!Y46+Mai!Y46+Juin!Y46+Juillet!Y46+Aout!Y46+Sept!Y46+Oct!Y46+Nov!Y46+Dec!Y46</f>
        <v>10120</v>
      </c>
      <c r="S46" s="97">
        <f>Janvier!AC46+Fevrier!AA46+Mars!AA46+Avril!AA46+Mai!AA46+Juin!AA46+Juillet!AA46+Aout!AA46+Sept!AA46+Oct!AA46+Nov!AA46+Dec!AA46</f>
        <v>65</v>
      </c>
      <c r="T46" s="107">
        <f>Janvier!AD46+Fevrier!AB46+Mars!AB46+Avril!AB46+Mai!AB46+Juin!AB46+Juillet!AB46+Aout!AB46+Sept!AB46+Oct!AB46+Nov!AB46+Dec!AB46</f>
        <v>6940</v>
      </c>
      <c r="U46" s="97">
        <f>Janvier!AF46+Fevrier!AD46+Mars!AD46+Avril!AD46+Mai!AD46+Juin!AD46+Juillet!AD46+Aout!AD46+Sept!AD46+Oct!AD46+Nov!AD46+Dec!AD46</f>
        <v>99</v>
      </c>
      <c r="V46" s="107">
        <f>Janvier!AG46+Fevrier!AE46+Mars!AE46+Avril!AE46+Mai!AE46+Juin!AE46+Juillet!AE46+Aout!AE46+Sept!AE46+Oct!AE46+Nov!AE46+Dec!AE46</f>
        <v>18480</v>
      </c>
      <c r="W46" s="97">
        <f>Janvier!AI46+Fevrier!AG46+Mars!AG46+Avril!AG46+Mai!AG46+Juin!AG46+Juillet!AG46+Aout!AG46+Sept!AG46+Oct!AG46+Nov!AG46+Dec!AG46</f>
        <v>4</v>
      </c>
      <c r="X46" s="309">
        <f t="shared" si="0"/>
        <v>0.689946914045934</v>
      </c>
      <c r="Y46" s="309">
        <f t="shared" si="1"/>
        <v>0.61406184439088585</v>
      </c>
      <c r="Z46" s="309">
        <f t="shared" si="2"/>
        <v>0.58274774536100238</v>
      </c>
      <c r="AA46" s="309">
        <f t="shared" si="3"/>
        <v>0.31345471713197226</v>
      </c>
      <c r="AB46" s="309">
        <f t="shared" si="4"/>
        <v>0.40931728103878789</v>
      </c>
      <c r="AC46" s="309">
        <f t="shared" si="5"/>
        <v>0.64098433197145643</v>
      </c>
      <c r="AD46" s="309">
        <f t="shared" si="6"/>
        <v>0.43770465744714671</v>
      </c>
      <c r="AE46" s="309">
        <f t="shared" si="7"/>
        <v>0.51476712764266408</v>
      </c>
      <c r="AF46" s="309">
        <f t="shared" si="8"/>
        <v>0.35301223970751866</v>
      </c>
      <c r="AG46" s="310">
        <f t="shared" si="9"/>
        <v>0.94000953743443016</v>
      </c>
    </row>
    <row r="47" spans="1:33" x14ac:dyDescent="0.3">
      <c r="A47" s="184" t="s">
        <v>50</v>
      </c>
      <c r="B47" s="218">
        <v>30729</v>
      </c>
      <c r="C47" s="273">
        <v>30469</v>
      </c>
      <c r="D47" s="107">
        <f>Janvier!F47+Fevrier!D47+Mars!D47+Avril!D47+Mai!D47+Juin!D47+Juillet!D47+Aout!D47+Sept!D47+Oct!D47+Nov!D47+Dec!D47</f>
        <v>23800</v>
      </c>
      <c r="E47" s="97">
        <f>+Janvier!H47+Fevrier!F47+Mars!F47+Avril!F47+Mai!F47+Juin!F47+Juillet!F47+Aout!F47+Sept!F47+Oct!F47+Nov!F47+Dec!F47</f>
        <v>13</v>
      </c>
      <c r="F47" s="107">
        <f>Janvier!I47+Fevrier!G47+Mars!G47+Avril!G47+Mai!G47+Juin!G47+Juillet!G47+Aout!G47+Sept!G47+Oct!G47+Nov!G47+Dec!G47</f>
        <v>75360</v>
      </c>
      <c r="G47" s="97">
        <f>+Janvier!K47+Fevrier!I47+Mars!I47+Avril!I47+Mai!I47+Juin!I47+Juillet!I47+Aout!I47+Sept!I47+Oct!I47+Nov!I47+Dec!I47</f>
        <v>0</v>
      </c>
      <c r="H47" s="107">
        <f>Janvier!L47+Fevrier!J47+Mars!J47+Avril!J47+Mai!J47+Juin!J47+Juillet!J47+Aout!J47+Sept!J47+Oct!J47+Nov!J47+Dec!J47</f>
        <v>57370</v>
      </c>
      <c r="I47" s="97">
        <f>Janvier!N47+Fevrier!L47+Mars!L47+Avril!L47+Mai!L47+Juin!L47+Juillet!L47+Aout!L47+Sept!L47+Oct!L47+Nov!L47+Dec!L47</f>
        <v>12</v>
      </c>
      <c r="J47" s="107">
        <f>Janvier!O47+Fevrier!M47+Mars!M47+Avril!M47+Mai!M47+Juin!M47+Juillet!M47+Aout!M47+Sept!M47+Oct!M47+Nov!M47+Dec!M47</f>
        <v>59880</v>
      </c>
      <c r="K47" s="97">
        <f>Janvier!Q47+Fevrier!O47+Mars!O47+Avril!O47+Mai!O47+Juin!O47+Juillet!O47+Aout!O47+Sept!O47+Oct!O47+Nov!O47+Dec!O47</f>
        <v>0</v>
      </c>
      <c r="L47" s="107">
        <f>Janvier!R47+Fevrier!P47+Mars!P47+Avril!P47+Mai!P47+Juin!P47+Juillet!P47+Aout!P47+Sept!P47+Oct!P47+Nov!P47+Dec!P47</f>
        <v>40023</v>
      </c>
      <c r="M47" s="97">
        <f>Janvier!T47+Fevrier!R47+Mars!R47+Avril!R47+Mai!R47+Juin!R47+Juillet!R47+Aout!R47+Sept!R47+Oct!R47+Nov!R47+Dec!R47</f>
        <v>0</v>
      </c>
      <c r="N47" s="107">
        <f>Janvier!U47+Fevrier!S47+Mars!S47+Avril!S47+Mai!S47+Juin!S47+Juillet!S47+Aout!S47+Sept!S47+Oct!S47+Nov!S47+Dec!S47</f>
        <v>21470</v>
      </c>
      <c r="O47" s="97">
        <f>Janvier!W47+Fevrier!U47+Mars!U47+Avril!U47+Mai!U47+Juin!U47+Juillet!U47+Aout!U47+Sept!U47+Oct!U47+Nov!U47+Dec!U47</f>
        <v>0</v>
      </c>
      <c r="P47" s="107">
        <f>Janvier!X47+Fevrier!V47+Mars!V47+Avril!V47+Mai!V47+Juin!V47+Juillet!V47+Aout!V47+Sept!V47+Oct!V47+Nov!V47+Dec!V47</f>
        <v>41620</v>
      </c>
      <c r="Q47" s="97">
        <f>Janvier!Z47+Fevrier!X47+Mars!X47+Avril!X47+Mai!X47+Juin!X47+Juillet!X47+Aout!X47+Sept!X47+Oct!X47+Nov!X47+Dec!X47</f>
        <v>0</v>
      </c>
      <c r="R47" s="107">
        <f>Janvier!AA47+Fevrier!Y47+Mars!Y47+Avril!Y47+Mai!Y47+Juin!Y47+Juillet!Y47+Aout!Y47+Sept!Y47+Oct!Y47+Nov!Y47+Dec!Y47</f>
        <v>18270</v>
      </c>
      <c r="S47" s="97">
        <f>Janvier!AC47+Fevrier!AA47+Mars!AA47+Avril!AA47+Mai!AA47+Juin!AA47+Juillet!AA47+Aout!AA47+Sept!AA47+Oct!AA47+Nov!AA47+Dec!AA47</f>
        <v>63</v>
      </c>
      <c r="T47" s="107">
        <f>Janvier!AD47+Fevrier!AB47+Mars!AB47+Avril!AB47+Mai!AB47+Juin!AB47+Juillet!AB47+Aout!AB47+Sept!AB47+Oct!AB47+Nov!AB47+Dec!AB47</f>
        <v>12670</v>
      </c>
      <c r="U47" s="97">
        <f>Janvier!AF47+Fevrier!AD47+Mars!AD47+Avril!AD47+Mai!AD47+Juin!AD47+Juillet!AD47+Aout!AD47+Sept!AD47+Oct!AD47+Nov!AD47+Dec!AD47</f>
        <v>89</v>
      </c>
      <c r="V47" s="107">
        <f>Janvier!AG47+Fevrier!AE47+Mars!AE47+Avril!AE47+Mai!AE47+Juin!AE47+Juillet!AE47+Aout!AE47+Sept!AE47+Oct!AE47+Nov!AE47+Dec!AE47</f>
        <v>40280</v>
      </c>
      <c r="W47" s="97">
        <f>Janvier!AI47+Fevrier!AG47+Mars!AG47+Avril!AG47+Mai!AG47+Juin!AG47+Juillet!AG47+Aout!AG47+Sept!AG47+Oct!AG47+Nov!AG47+Dec!AG47</f>
        <v>0</v>
      </c>
      <c r="X47" s="309">
        <f t="shared" si="0"/>
        <v>0.60603495721673295</v>
      </c>
      <c r="Y47" s="309">
        <f t="shared" si="1"/>
        <v>0.61895234037411317</v>
      </c>
      <c r="Z47" s="309">
        <f t="shared" si="2"/>
        <v>0.62826071775058168</v>
      </c>
      <c r="AA47" s="309">
        <f t="shared" si="3"/>
        <v>0.31968062473517828</v>
      </c>
      <c r="AB47" s="309">
        <f t="shared" si="4"/>
        <v>0.43829316204517227</v>
      </c>
      <c r="AC47" s="309">
        <f t="shared" si="5"/>
        <v>0.70535598449215553</v>
      </c>
      <c r="AD47" s="309">
        <f t="shared" si="6"/>
        <v>0.60710157136032616</v>
      </c>
      <c r="AE47" s="309">
        <f t="shared" si="7"/>
        <v>0.53300075486560106</v>
      </c>
      <c r="AF47" s="309">
        <f t="shared" si="8"/>
        <v>0.3696288759795931</v>
      </c>
      <c r="AG47" s="310">
        <f t="shared" si="9"/>
        <v>1.1751105859872146</v>
      </c>
    </row>
    <row r="48" spans="1:33" x14ac:dyDescent="0.3">
      <c r="A48" s="184" t="s">
        <v>56</v>
      </c>
      <c r="B48" s="218">
        <v>13091</v>
      </c>
      <c r="C48" s="273">
        <v>12980</v>
      </c>
      <c r="D48" s="107">
        <f>Janvier!F48+Fevrier!D48+Mars!D48+Avril!D48+Mai!D48+Juin!D48+Juillet!D48+Aout!D48+Sept!D48+Oct!D48+Nov!D48+Dec!D48</f>
        <v>10000</v>
      </c>
      <c r="E48" s="97">
        <f>+Janvier!H48+Fevrier!F48+Mars!F48+Avril!F48+Mai!F48+Juin!F48+Juillet!F48+Aout!F48+Sept!F48+Oct!F48+Nov!F48+Dec!F48</f>
        <v>0</v>
      </c>
      <c r="F48" s="107">
        <f>Janvier!I48+Fevrier!G48+Mars!G48+Avril!G48+Mai!G48+Juin!G48+Juillet!G48+Aout!G48+Sept!G48+Oct!G48+Nov!G48+Dec!G48</f>
        <v>25840</v>
      </c>
      <c r="G48" s="97">
        <f>+Janvier!K48+Fevrier!I48+Mars!I48+Avril!I48+Mai!I48+Juin!I48+Juillet!I48+Aout!I48+Sept!I48+Oct!I48+Nov!I48+Dec!I48</f>
        <v>0</v>
      </c>
      <c r="H48" s="107">
        <f>Janvier!L48+Fevrier!J48+Mars!J48+Avril!J48+Mai!J48+Juin!J48+Juillet!J48+Aout!J48+Sept!J48+Oct!J48+Nov!J48+Dec!J48</f>
        <v>20610</v>
      </c>
      <c r="I48" s="97">
        <f>Janvier!N48+Fevrier!L48+Mars!L48+Avril!L48+Mai!L48+Juin!L48+Juillet!L48+Aout!L48+Sept!L48+Oct!L48+Nov!L48+Dec!L48</f>
        <v>0</v>
      </c>
      <c r="J48" s="107">
        <f>Janvier!O48+Fevrier!M48+Mars!M48+Avril!M48+Mai!M48+Juin!M48+Juillet!M48+Aout!M48+Sept!M48+Oct!M48+Nov!M48+Dec!M48</f>
        <v>20376</v>
      </c>
      <c r="K48" s="97">
        <f>Janvier!Q48+Fevrier!O48+Mars!O48+Avril!O48+Mai!O48+Juin!O48+Juillet!O48+Aout!O48+Sept!O48+Oct!O48+Nov!O48+Dec!O48</f>
        <v>0</v>
      </c>
      <c r="L48" s="107">
        <f>Janvier!R48+Fevrier!P48+Mars!P48+Avril!P48+Mai!P48+Juin!P48+Juillet!P48+Aout!P48+Sept!P48+Oct!P48+Nov!P48+Dec!P48</f>
        <v>12831</v>
      </c>
      <c r="M48" s="97">
        <f>Janvier!T48+Fevrier!R48+Mars!R48+Avril!R48+Mai!R48+Juin!R48+Juillet!R48+Aout!R48+Sept!R48+Oct!R48+Nov!R48+Dec!R48</f>
        <v>0</v>
      </c>
      <c r="N48" s="107">
        <f>Janvier!U48+Fevrier!S48+Mars!S48+Avril!S48+Mai!S48+Juin!S48+Juillet!S48+Aout!S48+Sept!S48+Oct!S48+Nov!S48+Dec!S48</f>
        <v>7010</v>
      </c>
      <c r="O48" s="97">
        <f>Janvier!W48+Fevrier!U48+Mars!U48+Avril!U48+Mai!U48+Juin!U48+Juillet!U48+Aout!U48+Sept!U48+Oct!U48+Nov!U48+Dec!U48</f>
        <v>0</v>
      </c>
      <c r="P48" s="107">
        <f>Janvier!X48+Fevrier!V48+Mars!V48+Avril!V48+Mai!V48+Juin!V48+Juillet!V48+Aout!V48+Sept!V48+Oct!V48+Nov!V48+Dec!V48</f>
        <v>9970</v>
      </c>
      <c r="Q48" s="97">
        <f>Janvier!Z48+Fevrier!X48+Mars!X48+Avril!X48+Mai!X48+Juin!X48+Juillet!X48+Aout!X48+Sept!X48+Oct!X48+Nov!X48+Dec!X48</f>
        <v>0</v>
      </c>
      <c r="R48" s="107">
        <f>Janvier!AA48+Fevrier!Y48+Mars!Y48+Avril!Y48+Mai!Y48+Juin!Y48+Juillet!Y48+Aout!Y48+Sept!Y48+Oct!Y48+Nov!Y48+Dec!Y48</f>
        <v>6890</v>
      </c>
      <c r="S48" s="97">
        <f>Janvier!AC48+Fevrier!AA48+Mars!AA48+Avril!AA48+Mai!AA48+Juin!AA48+Juillet!AA48+Aout!AA48+Sept!AA48+Oct!AA48+Nov!AA48+Dec!AA48</f>
        <v>61</v>
      </c>
      <c r="T48" s="107">
        <f>Janvier!AD48+Fevrier!AB48+Mars!AB48+Avril!AB48+Mai!AB48+Juin!AB48+Juillet!AB48+Aout!AB48+Sept!AB48+Oct!AB48+Nov!AB48+Dec!AB48</f>
        <v>4780</v>
      </c>
      <c r="U48" s="97">
        <f>Janvier!AF48+Fevrier!AD48+Mars!AD48+Avril!AD48+Mai!AD48+Juin!AD48+Juillet!AD48+Aout!AD48+Sept!AD48+Oct!AD48+Nov!AD48+Dec!AD48</f>
        <v>126</v>
      </c>
      <c r="V48" s="107">
        <f>Janvier!AG48+Fevrier!AE48+Mars!AE48+Avril!AE48+Mai!AE48+Juin!AE48+Juillet!AE48+Aout!AE48+Sept!AE48+Oct!AE48+Nov!AE48+Dec!AE48</f>
        <v>10120</v>
      </c>
      <c r="W48" s="97">
        <f>Janvier!AI48+Fevrier!AG48+Mars!AG48+Avril!AG48+Mai!AG48+Juin!AG48+Juillet!AG48+Aout!AG48+Sept!AG48+Oct!AG48+Nov!AG48+Dec!AG48</f>
        <v>0</v>
      </c>
      <c r="X48" s="309">
        <f t="shared" si="0"/>
        <v>0.59771798446148428</v>
      </c>
      <c r="Y48" s="309">
        <f t="shared" si="1"/>
        <v>0.49818693886490495</v>
      </c>
      <c r="Z48" s="309">
        <f t="shared" si="2"/>
        <v>0.5298056145513772</v>
      </c>
      <c r="AA48" s="309">
        <f t="shared" si="3"/>
        <v>0.33749886517848821</v>
      </c>
      <c r="AB48" s="309">
        <f t="shared" si="4"/>
        <v>0.32983677051473659</v>
      </c>
      <c r="AC48" s="309">
        <f t="shared" si="5"/>
        <v>0.54060223551748976</v>
      </c>
      <c r="AD48" s="309">
        <f t="shared" si="6"/>
        <v>0.34137990070193458</v>
      </c>
      <c r="AE48" s="309">
        <f t="shared" si="7"/>
        <v>0.47183701420989554</v>
      </c>
      <c r="AF48" s="309">
        <f t="shared" si="8"/>
        <v>0.3273412086971409</v>
      </c>
      <c r="AG48" s="310">
        <f t="shared" si="9"/>
        <v>0.69303201506591339</v>
      </c>
    </row>
    <row r="49" spans="1:33" x14ac:dyDescent="0.3">
      <c r="A49" s="184" t="s">
        <v>51</v>
      </c>
      <c r="B49" s="218">
        <v>8421</v>
      </c>
      <c r="C49" s="273">
        <v>8350</v>
      </c>
      <c r="D49" s="107">
        <f>Janvier!F49+Fevrier!D49+Mars!D49+Avril!D49+Mai!D49+Juin!D49+Juillet!D49+Aout!D49+Sept!D49+Oct!D49+Nov!D49+Dec!D49</f>
        <v>7280</v>
      </c>
      <c r="E49" s="97">
        <f>+Janvier!H49+Fevrier!F49+Mars!F49+Avril!F49+Mai!F49+Juin!F49+Juillet!F49+Aout!F49+Sept!F49+Oct!F49+Nov!F49+Dec!F49</f>
        <v>17</v>
      </c>
      <c r="F49" s="107">
        <f>Janvier!I49+Fevrier!G49+Mars!G49+Avril!G49+Mai!G49+Juin!G49+Juillet!G49+Aout!G49+Sept!G49+Oct!G49+Nov!G49+Dec!G49</f>
        <v>19240</v>
      </c>
      <c r="G49" s="97">
        <f>+Janvier!K49+Fevrier!I49+Mars!I49+Avril!I49+Mai!I49+Juin!I49+Juillet!I49+Aout!I49+Sept!I49+Oct!I49+Nov!I49+Dec!I49</f>
        <v>0</v>
      </c>
      <c r="H49" s="107">
        <f>Janvier!L49+Fevrier!J49+Mars!J49+Avril!J49+Mai!J49+Juin!J49+Juillet!J49+Aout!J49+Sept!J49+Oct!J49+Nov!J49+Dec!J49</f>
        <v>15990</v>
      </c>
      <c r="I49" s="97">
        <f>Janvier!N49+Fevrier!L49+Mars!L49+Avril!L49+Mai!L49+Juin!L49+Juillet!L49+Aout!L49+Sept!L49+Oct!L49+Nov!L49+Dec!L49</f>
        <v>0</v>
      </c>
      <c r="J49" s="107">
        <f>Janvier!O49+Fevrier!M49+Mars!M49+Avril!M49+Mai!M49+Juin!M49+Juillet!M49+Aout!M49+Sept!M49+Oct!M49+Nov!M49+Dec!M49</f>
        <v>12524</v>
      </c>
      <c r="K49" s="97">
        <f>Janvier!Q49+Fevrier!O49+Mars!O49+Avril!O49+Mai!O49+Juin!O49+Juillet!O49+Aout!O49+Sept!O49+Oct!O49+Nov!O49+Dec!O49</f>
        <v>0</v>
      </c>
      <c r="L49" s="107">
        <f>Janvier!R49+Fevrier!P49+Mars!P49+Avril!P49+Mai!P49+Juin!P49+Juillet!P49+Aout!P49+Sept!P49+Oct!P49+Nov!P49+Dec!P49</f>
        <v>9145</v>
      </c>
      <c r="M49" s="97">
        <f>Janvier!T49+Fevrier!R49+Mars!R49+Avril!R49+Mai!R49+Juin!R49+Juillet!R49+Aout!R49+Sept!R49+Oct!R49+Nov!R49+Dec!R49</f>
        <v>0</v>
      </c>
      <c r="N49" s="107">
        <f>Janvier!U49+Fevrier!S49+Mars!S49+Avril!S49+Mai!S49+Juin!S49+Juillet!S49+Aout!S49+Sept!S49+Oct!S49+Nov!S49+Dec!S49</f>
        <v>5360</v>
      </c>
      <c r="O49" s="97">
        <f>Janvier!W49+Fevrier!U49+Mars!U49+Avril!U49+Mai!U49+Juin!U49+Juillet!U49+Aout!U49+Sept!U49+Oct!U49+Nov!U49+Dec!U49</f>
        <v>0</v>
      </c>
      <c r="P49" s="107">
        <f>Janvier!X49+Fevrier!V49+Mars!V49+Avril!V49+Mai!V49+Juin!V49+Juillet!V49+Aout!V49+Sept!V49+Oct!V49+Nov!V49+Dec!V49</f>
        <v>8730</v>
      </c>
      <c r="Q49" s="97">
        <f>Janvier!Z49+Fevrier!X49+Mars!X49+Avril!X49+Mai!X49+Juin!X49+Juillet!X49+Aout!X49+Sept!X49+Oct!X49+Nov!X49+Dec!X49</f>
        <v>0</v>
      </c>
      <c r="R49" s="107">
        <f>Janvier!AA49+Fevrier!Y49+Mars!Y49+Avril!Y49+Mai!Y49+Juin!Y49+Juillet!Y49+Aout!Y49+Sept!Y49+Oct!Y49+Nov!Y49+Dec!Y49</f>
        <v>4740</v>
      </c>
      <c r="S49" s="97">
        <f>Janvier!AC49+Fevrier!AA49+Mars!AA49+Avril!AA49+Mai!AA49+Juin!AA49+Juillet!AA49+Aout!AA49+Sept!AA49+Oct!AA49+Nov!AA49+Dec!AA49</f>
        <v>64</v>
      </c>
      <c r="T49" s="107">
        <f>Janvier!AD49+Fevrier!AB49+Mars!AB49+Avril!AB49+Mai!AB49+Juin!AB49+Juillet!AB49+Aout!AB49+Sept!AB49+Oct!AB49+Nov!AB49+Dec!AB49</f>
        <v>3340</v>
      </c>
      <c r="U49" s="97">
        <f>Janvier!AF49+Fevrier!AD49+Mars!AD49+Avril!AD49+Mai!AD49+Juin!AD49+Juillet!AD49+Aout!AD49+Sept!AD49+Oct!AD49+Nov!AD49+Dec!AD49</f>
        <v>90</v>
      </c>
      <c r="V49" s="107">
        <f>Janvier!AG49+Fevrier!AE49+Mars!AE49+Avril!AE49+Mai!AE49+Juin!AE49+Juillet!AE49+Aout!AE49+Sept!AE49+Oct!AE49+Nov!AE49+Dec!AE49</f>
        <v>8800</v>
      </c>
      <c r="W49" s="97">
        <f>Janvier!AI49+Fevrier!AG49+Mars!AG49+Avril!AG49+Mai!AG49+Juin!AG49+Juillet!AG49+Aout!AG49+Sept!AG49+Oct!AG49+Nov!AG49+Dec!AG49</f>
        <v>0</v>
      </c>
      <c r="X49" s="309">
        <f t="shared" si="0"/>
        <v>0.67645180215866174</v>
      </c>
      <c r="Y49" s="309">
        <f t="shared" si="1"/>
        <v>0.57662452872033698</v>
      </c>
      <c r="Z49" s="309">
        <f t="shared" si="2"/>
        <v>0.63896231560902217</v>
      </c>
      <c r="AA49" s="309">
        <f t="shared" si="3"/>
        <v>0.42600888975849044</v>
      </c>
      <c r="AB49" s="309">
        <f t="shared" si="4"/>
        <v>0.36543529557501614</v>
      </c>
      <c r="AC49" s="309">
        <f t="shared" si="5"/>
        <v>0.6425587263910616</v>
      </c>
      <c r="AD49" s="309">
        <f t="shared" si="6"/>
        <v>0.46467065868263474</v>
      </c>
      <c r="AE49" s="309">
        <f t="shared" si="7"/>
        <v>0.50459081836327346</v>
      </c>
      <c r="AF49" s="309">
        <f t="shared" si="8"/>
        <v>0.35555555555555557</v>
      </c>
      <c r="AG49" s="310">
        <f t="shared" si="9"/>
        <v>0.93679308050565535</v>
      </c>
    </row>
    <row r="50" spans="1:33" x14ac:dyDescent="0.3">
      <c r="A50" s="184" t="s">
        <v>52</v>
      </c>
      <c r="B50" s="218">
        <v>24324</v>
      </c>
      <c r="C50" s="273">
        <v>24118</v>
      </c>
      <c r="D50" s="107">
        <f>Janvier!F50+Fevrier!D50+Mars!D50+Avril!D50+Mai!D50+Juin!D50+Juillet!D50+Aout!D50+Sept!D50+Oct!D50+Nov!D50+Dec!D50</f>
        <v>15620</v>
      </c>
      <c r="E50" s="97">
        <f>+Janvier!H50+Fevrier!F50+Mars!F50+Avril!F50+Mai!F50+Juin!F50+Juillet!F50+Aout!F50+Sept!F50+Oct!F50+Nov!F50+Dec!F50</f>
        <v>14</v>
      </c>
      <c r="F50" s="107">
        <f>Janvier!I50+Fevrier!G50+Mars!G50+Avril!G50+Mai!G50+Juin!G50+Juillet!G50+Aout!G50+Sept!G50+Oct!G50+Nov!G50+Dec!G50</f>
        <v>49200</v>
      </c>
      <c r="G50" s="97">
        <f>+Janvier!K50+Fevrier!I50+Mars!I50+Avril!I50+Mai!I50+Juin!I50+Juillet!I50+Aout!I50+Sept!I50+Oct!I50+Nov!I50+Dec!I50</f>
        <v>0</v>
      </c>
      <c r="H50" s="107">
        <f>Janvier!L50+Fevrier!J50+Mars!J50+Avril!J50+Mai!J50+Juin!J50+Juillet!J50+Aout!J50+Sept!J50+Oct!J50+Nov!J50+Dec!J50</f>
        <v>34730</v>
      </c>
      <c r="I50" s="97">
        <f>Janvier!N50+Fevrier!L50+Mars!L50+Avril!L50+Mai!L50+Juin!L50+Juillet!L50+Aout!L50+Sept!L50+Oct!L50+Nov!L50+Dec!L50</f>
        <v>0</v>
      </c>
      <c r="J50" s="107">
        <f>Janvier!O50+Fevrier!M50+Mars!M50+Avril!M50+Mai!M50+Juin!M50+Juillet!M50+Aout!M50+Sept!M50+Oct!M50+Nov!M50+Dec!M50</f>
        <v>33304</v>
      </c>
      <c r="K50" s="97">
        <f>Janvier!Q50+Fevrier!O50+Mars!O50+Avril!O50+Mai!O50+Juin!O50+Juillet!O50+Aout!O50+Sept!O50+Oct!O50+Nov!O50+Dec!O50</f>
        <v>0</v>
      </c>
      <c r="L50" s="107">
        <f>Janvier!R50+Fevrier!P50+Mars!P50+Avril!P50+Mai!P50+Juin!P50+Juillet!P50+Aout!P50+Sept!P50+Oct!P50+Nov!P50+Dec!P50</f>
        <v>19913</v>
      </c>
      <c r="M50" s="97">
        <f>Janvier!T50+Fevrier!R50+Mars!R50+Avril!R50+Mai!R50+Juin!R50+Juillet!R50+Aout!R50+Sept!R50+Oct!R50+Nov!R50+Dec!R50</f>
        <v>0</v>
      </c>
      <c r="N50" s="107">
        <f>Janvier!U50+Fevrier!S50+Mars!S50+Avril!S50+Mai!S50+Juin!S50+Juillet!S50+Aout!S50+Sept!S50+Oct!S50+Nov!S50+Dec!S50</f>
        <v>12210</v>
      </c>
      <c r="O50" s="97">
        <f>Janvier!W50+Fevrier!U50+Mars!U50+Avril!U50+Mai!U50+Juin!U50+Juillet!U50+Aout!U50+Sept!U50+Oct!U50+Nov!U50+Dec!U50</f>
        <v>0</v>
      </c>
      <c r="P50" s="107">
        <f>Janvier!X50+Fevrier!V50+Mars!V50+Avril!V50+Mai!V50+Juin!V50+Juillet!V50+Aout!V50+Sept!V50+Oct!V50+Nov!V50+Dec!V50</f>
        <v>20440</v>
      </c>
      <c r="Q50" s="97">
        <f>Janvier!Z50+Fevrier!X50+Mars!X50+Avril!X50+Mai!X50+Juin!X50+Juillet!X50+Aout!X50+Sept!X50+Oct!X50+Nov!X50+Dec!X50</f>
        <v>0</v>
      </c>
      <c r="R50" s="107">
        <f>Janvier!AA50+Fevrier!Y50+Mars!Y50+Avril!Y50+Mai!Y50+Juin!Y50+Juillet!Y50+Aout!Y50+Sept!Y50+Oct!Y50+Nov!Y50+Dec!Y50</f>
        <v>12350</v>
      </c>
      <c r="S50" s="97">
        <f>Janvier!AC50+Fevrier!AA50+Mars!AA50+Avril!AA50+Mai!AA50+Juin!AA50+Juillet!AA50+Aout!AA50+Sept!AA50+Oct!AA50+Nov!AA50+Dec!AA50</f>
        <v>66</v>
      </c>
      <c r="T50" s="107">
        <f>Janvier!AD50+Fevrier!AB50+Mars!AB50+Avril!AB50+Mai!AB50+Juin!AB50+Juillet!AB50+Aout!AB50+Sept!AB50+Oct!AB50+Nov!AB50+Dec!AB50</f>
        <v>12400</v>
      </c>
      <c r="U50" s="97">
        <f>Janvier!AF50+Fevrier!AD50+Mars!AD50+Avril!AD50+Mai!AD50+Juin!AD50+Juillet!AD50+Aout!AD50+Sept!AD50+Oct!AD50+Nov!AD50+Dec!AD50</f>
        <v>92</v>
      </c>
      <c r="V50" s="107">
        <f>Janvier!AG50+Fevrier!AE50+Mars!AE50+Avril!AE50+Mai!AE50+Juin!AE50+Juillet!AE50+Aout!AE50+Sept!AE50+Oct!AE50+Nov!AE50+Dec!AE50</f>
        <v>19380</v>
      </c>
      <c r="W50" s="97">
        <f>Janvier!AI50+Fevrier!AG50+Mars!AG50+Avril!AG50+Mai!AG50+Juin!AG50+Juillet!AG50+Aout!AG50+Sept!AG50+Oct!AG50+Nov!AG50+Dec!AG50</f>
        <v>0</v>
      </c>
      <c r="X50" s="309">
        <f t="shared" si="0"/>
        <v>0.50247583548027552</v>
      </c>
      <c r="Y50" s="309">
        <f t="shared" si="1"/>
        <v>0.51050303973431921</v>
      </c>
      <c r="Z50" s="309">
        <f t="shared" si="2"/>
        <v>0.48048158726213841</v>
      </c>
      <c r="AA50" s="309">
        <f t="shared" si="3"/>
        <v>0.34795384703303667</v>
      </c>
      <c r="AB50" s="309">
        <f t="shared" si="4"/>
        <v>0.27549178943711378</v>
      </c>
      <c r="AC50" s="309">
        <f t="shared" si="5"/>
        <v>0.5067676516387023</v>
      </c>
      <c r="AD50" s="309">
        <f t="shared" si="6"/>
        <v>0.37666657452709362</v>
      </c>
      <c r="AE50" s="309">
        <f t="shared" si="7"/>
        <v>0.45516949074457991</v>
      </c>
      <c r="AF50" s="309">
        <f t="shared" si="8"/>
        <v>0.45701228220508427</v>
      </c>
      <c r="AG50" s="310">
        <f t="shared" si="9"/>
        <v>0.71426597009149462</v>
      </c>
    </row>
    <row r="51" spans="1:33" x14ac:dyDescent="0.3">
      <c r="A51" s="184" t="s">
        <v>53</v>
      </c>
      <c r="B51" s="218">
        <v>1378</v>
      </c>
      <c r="C51" s="273">
        <v>1366</v>
      </c>
      <c r="D51" s="107">
        <f>Janvier!F51+Fevrier!D51+Mars!D51+Avril!D51+Mai!D51+Juin!D51+Juillet!D51+Aout!D51+Sept!D51+Oct!D51+Nov!D51+Dec!D51</f>
        <v>1080</v>
      </c>
      <c r="E51" s="97">
        <f>+Janvier!H51+Fevrier!F51+Mars!F51+Avril!F51+Mai!F51+Juin!F51+Juillet!F51+Aout!F51+Sept!F51+Oct!F51+Nov!F51+Dec!F51</f>
        <v>15</v>
      </c>
      <c r="F51" s="107">
        <f>Janvier!I51+Fevrier!G51+Mars!G51+Avril!G51+Mai!G51+Juin!G51+Juillet!G51+Aout!G51+Sept!G51+Oct!G51+Nov!G51+Dec!G51</f>
        <v>3150</v>
      </c>
      <c r="G51" s="97">
        <f>+Janvier!K51+Fevrier!I51+Mars!I51+Avril!I51+Mai!I51+Juin!I51+Juillet!I51+Aout!I51+Sept!I51+Oct!I51+Nov!I51+Dec!I51</f>
        <v>0</v>
      </c>
      <c r="H51" s="107">
        <f>Janvier!L51+Fevrier!J51+Mars!J51+Avril!J51+Mai!J51+Juin!J51+Juillet!J51+Aout!J51+Sept!J51+Oct!J51+Nov!J51+Dec!J51</f>
        <v>1930</v>
      </c>
      <c r="I51" s="97">
        <f>Janvier!N51+Fevrier!L51+Mars!L51+Avril!L51+Mai!L51+Juin!L51+Juillet!L51+Aout!L51+Sept!L51+Oct!L51+Nov!L51+Dec!L51</f>
        <v>4</v>
      </c>
      <c r="J51" s="107">
        <f>Janvier!O51+Fevrier!M51+Mars!M51+Avril!M51+Mai!M51+Juin!M51+Juillet!M51+Aout!M51+Sept!M51+Oct!M51+Nov!M51+Dec!M51</f>
        <v>2020</v>
      </c>
      <c r="K51" s="97">
        <f>Janvier!Q51+Fevrier!O51+Mars!O51+Avril!O51+Mai!O51+Juin!O51+Juillet!O51+Aout!O51+Sept!O51+Oct!O51+Nov!O51+Dec!O51</f>
        <v>0</v>
      </c>
      <c r="L51" s="107">
        <f>Janvier!R51+Fevrier!P51+Mars!P51+Avril!P51+Mai!P51+Juin!P51+Juillet!P51+Aout!P51+Sept!P51+Oct!P51+Nov!P51+Dec!P51</f>
        <v>1254</v>
      </c>
      <c r="M51" s="97">
        <f>Janvier!T51+Fevrier!R51+Mars!R51+Avril!R51+Mai!R51+Juin!R51+Juillet!R51+Aout!R51+Sept!R51+Oct!R51+Nov!R51+Dec!R51</f>
        <v>0</v>
      </c>
      <c r="N51" s="107">
        <f>Janvier!U51+Fevrier!S51+Mars!S51+Avril!S51+Mai!S51+Juin!S51+Juillet!S51+Aout!S51+Sept!S51+Oct!S51+Nov!S51+Dec!S51</f>
        <v>690</v>
      </c>
      <c r="O51" s="97">
        <f>Janvier!W51+Fevrier!U51+Mars!U51+Avril!U51+Mai!U51+Juin!U51+Juillet!U51+Aout!U51+Sept!U51+Oct!U51+Nov!U51+Dec!U51</f>
        <v>0</v>
      </c>
      <c r="P51" s="107">
        <f>Janvier!X51+Fevrier!V51+Mars!V51+Avril!V51+Mai!V51+Juin!V51+Juillet!V51+Aout!V51+Sept!V51+Oct!V51+Nov!V51+Dec!V51</f>
        <v>1590</v>
      </c>
      <c r="Q51" s="97">
        <f>Janvier!Z51+Fevrier!X51+Mars!X51+Avril!X51+Mai!X51+Juin!X51+Juillet!X51+Aout!X51+Sept!X51+Oct!X51+Nov!X51+Dec!X51</f>
        <v>3</v>
      </c>
      <c r="R51" s="107">
        <f>Janvier!AA51+Fevrier!Y51+Mars!Y51+Avril!Y51+Mai!Y51+Juin!Y51+Juillet!Y51+Aout!Y51+Sept!Y51+Oct!Y51+Nov!Y51+Dec!Y51</f>
        <v>630</v>
      </c>
      <c r="S51" s="97">
        <f>Janvier!AC51+Fevrier!AA51+Mars!AA51+Avril!AA51+Mai!AA51+Juin!AA51+Juillet!AA51+Aout!AA51+Sept!AA51+Oct!AA51+Nov!AA51+Dec!AA51</f>
        <v>32</v>
      </c>
      <c r="T51" s="107">
        <f>Janvier!AD51+Fevrier!AB51+Mars!AB51+Avril!AB51+Mai!AB51+Juin!AB51+Juillet!AB51+Aout!AB51+Sept!AB51+Oct!AB51+Nov!AB51+Dec!AB51</f>
        <v>540</v>
      </c>
      <c r="U51" s="97">
        <f>Janvier!AF51+Fevrier!AD51+Mars!AD51+Avril!AD51+Mai!AD51+Juin!AD51+Juillet!AD51+Aout!AD51+Sept!AD51+Oct!AD51+Nov!AD51+Dec!AD51</f>
        <v>124</v>
      </c>
      <c r="V51" s="107">
        <f>Janvier!AG51+Fevrier!AE51+Mars!AE51+Avril!AE51+Mai!AE51+Juin!AE51+Juillet!AE51+Aout!AE51+Sept!AE51+Oct!AE51+Nov!AE51+Dec!AE51</f>
        <v>1560</v>
      </c>
      <c r="W51" s="97">
        <f>Janvier!AI51+Fevrier!AG51+Mars!AG51+Avril!AG51+Mai!AG51+Juin!AG51+Juillet!AG51+Aout!AG51+Sept!AG51+Oct!AG51+Nov!AG51+Dec!AG51</f>
        <v>7</v>
      </c>
      <c r="X51" s="309">
        <f t="shared" si="0"/>
        <v>0.61325865205748276</v>
      </c>
      <c r="Y51" s="309">
        <f t="shared" si="1"/>
        <v>0.57707780987429591</v>
      </c>
      <c r="Z51" s="309">
        <f t="shared" si="2"/>
        <v>0.47143287748460999</v>
      </c>
      <c r="AA51" s="309">
        <f t="shared" si="3"/>
        <v>0.31880064883365211</v>
      </c>
      <c r="AB51" s="309">
        <f t="shared" si="4"/>
        <v>0.3063092374951818</v>
      </c>
      <c r="AC51" s="309">
        <f t="shared" si="5"/>
        <v>0.50563008103271634</v>
      </c>
      <c r="AD51" s="309">
        <f t="shared" si="6"/>
        <v>0.51732552464616888</v>
      </c>
      <c r="AE51" s="309">
        <f t="shared" si="7"/>
        <v>0.40995607613469986</v>
      </c>
      <c r="AF51" s="309">
        <f t="shared" si="8"/>
        <v>0.35139092240117131</v>
      </c>
      <c r="AG51" s="310">
        <f t="shared" si="9"/>
        <v>1.0151293313811616</v>
      </c>
    </row>
    <row r="52" spans="1:33" x14ac:dyDescent="0.3">
      <c r="A52" s="184" t="s">
        <v>54</v>
      </c>
      <c r="B52" s="218">
        <v>8172</v>
      </c>
      <c r="C52" s="273">
        <v>8103</v>
      </c>
      <c r="D52" s="107">
        <f>Janvier!F52+Fevrier!D52+Mars!D52+Avril!D52+Mai!D52+Juin!D52+Juillet!D52+Aout!D52+Sept!D52+Oct!D52+Nov!D52+Dec!D52</f>
        <v>7400</v>
      </c>
      <c r="E52" s="97">
        <f>+Janvier!H52+Fevrier!F52+Mars!F52+Avril!F52+Mai!F52+Juin!F52+Juillet!F52+Aout!F52+Sept!F52+Oct!F52+Nov!F52+Dec!F52</f>
        <v>0</v>
      </c>
      <c r="F52" s="107">
        <f>Janvier!I52+Fevrier!G52+Mars!G52+Avril!G52+Mai!G52+Juin!G52+Juillet!G52+Aout!G52+Sept!G52+Oct!G52+Nov!G52+Dec!G52</f>
        <v>18180</v>
      </c>
      <c r="G52" s="97">
        <f>+Janvier!K52+Fevrier!I52+Mars!I52+Avril!I52+Mai!I52+Juin!I52+Juillet!I52+Aout!I52+Sept!I52+Oct!I52+Nov!I52+Dec!I52</f>
        <v>0</v>
      </c>
      <c r="H52" s="107">
        <f>Janvier!L52+Fevrier!J52+Mars!J52+Avril!J52+Mai!J52+Juin!J52+Juillet!J52+Aout!J52+Sept!J52+Oct!J52+Nov!J52+Dec!J52</f>
        <v>16500</v>
      </c>
      <c r="I52" s="97">
        <f>Janvier!N52+Fevrier!L52+Mars!L52+Avril!L52+Mai!L52+Juin!L52+Juillet!L52+Aout!L52+Sept!L52+Oct!L52+Nov!L52+Dec!L52</f>
        <v>0</v>
      </c>
      <c r="J52" s="107">
        <f>Janvier!O52+Fevrier!M52+Mars!M52+Avril!M52+Mai!M52+Juin!M52+Juillet!M52+Aout!M52+Sept!M52+Oct!M52+Nov!M52+Dec!M52</f>
        <v>14350</v>
      </c>
      <c r="K52" s="97">
        <f>Janvier!Q52+Fevrier!O52+Mars!O52+Avril!O52+Mai!O52+Juin!O52+Juillet!O52+Aout!O52+Sept!O52+Oct!O52+Nov!O52+Dec!O52</f>
        <v>0</v>
      </c>
      <c r="L52" s="107">
        <f>Janvier!R52+Fevrier!P52+Mars!P52+Avril!P52+Mai!P52+Juin!P52+Juillet!P52+Aout!P52+Sept!P52+Oct!P52+Nov!P52+Dec!P52</f>
        <v>7978</v>
      </c>
      <c r="M52" s="97">
        <f>Janvier!T52+Fevrier!R52+Mars!R52+Avril!R52+Mai!R52+Juin!R52+Juillet!R52+Aout!R52+Sept!R52+Oct!R52+Nov!R52+Dec!R52</f>
        <v>0</v>
      </c>
      <c r="N52" s="107">
        <f>Janvier!U52+Fevrier!S52+Mars!S52+Avril!S52+Mai!S52+Juin!S52+Juillet!S52+Aout!S52+Sept!S52+Oct!S52+Nov!S52+Dec!S52</f>
        <v>4720</v>
      </c>
      <c r="O52" s="97">
        <f>Janvier!W52+Fevrier!U52+Mars!U52+Avril!U52+Mai!U52+Juin!U52+Juillet!U52+Aout!U52+Sept!U52+Oct!U52+Nov!U52+Dec!U52</f>
        <v>0</v>
      </c>
      <c r="P52" s="107">
        <f>Janvier!X52+Fevrier!V52+Mars!V52+Avril!V52+Mai!V52+Juin!V52+Juillet!V52+Aout!V52+Sept!V52+Oct!V52+Nov!V52+Dec!V52</f>
        <v>6420</v>
      </c>
      <c r="Q52" s="97">
        <f>Janvier!Z52+Fevrier!X52+Mars!X52+Avril!X52+Mai!X52+Juin!X52+Juillet!X52+Aout!X52+Sept!X52+Oct!X52+Nov!X52+Dec!X52</f>
        <v>0</v>
      </c>
      <c r="R52" s="107">
        <f>Janvier!AA52+Fevrier!Y52+Mars!Y52+Avril!Y52+Mai!Y52+Juin!Y52+Juillet!Y52+Aout!Y52+Sept!Y52+Oct!Y52+Nov!Y52+Dec!Y52</f>
        <v>5450</v>
      </c>
      <c r="S52" s="97">
        <f>Janvier!AC52+Fevrier!AA52+Mars!AA52+Avril!AA52+Mai!AA52+Juin!AA52+Juillet!AA52+Aout!AA52+Sept!AA52+Oct!AA52+Nov!AA52+Dec!AA52</f>
        <v>62</v>
      </c>
      <c r="T52" s="107">
        <f>Janvier!AD52+Fevrier!AB52+Mars!AB52+Avril!AB52+Mai!AB52+Juin!AB52+Juillet!AB52+Aout!AB52+Sept!AB52+Oct!AB52+Nov!AB52+Dec!AB52</f>
        <v>2980</v>
      </c>
      <c r="U52" s="97">
        <f>Janvier!AF52+Fevrier!AD52+Mars!AD52+Avril!AD52+Mai!AD52+Juin!AD52+Juillet!AD52+Aout!AD52+Sept!AD52+Oct!AD52+Nov!AD52+Dec!AD52</f>
        <v>122</v>
      </c>
      <c r="V52" s="107">
        <f>Janvier!AG52+Fevrier!AE52+Mars!AE52+Avril!AE52+Mai!AE52+Juin!AE52+Juillet!AE52+Aout!AE52+Sept!AE52+Oct!AE52+Nov!AE52+Dec!AE52</f>
        <v>10210</v>
      </c>
      <c r="W52" s="97">
        <f>Janvier!AI52+Fevrier!AG52+Mars!AG52+Avril!AG52+Mai!AG52+Juin!AG52+Juillet!AG52+Aout!AG52+Sept!AG52+Oct!AG52+Nov!AG52+Dec!AG52</f>
        <v>0</v>
      </c>
      <c r="X52" s="309">
        <f t="shared" si="0"/>
        <v>0.70855327209901064</v>
      </c>
      <c r="Y52" s="309">
        <f t="shared" si="1"/>
        <v>0.5614648339565036</v>
      </c>
      <c r="Z52" s="309">
        <f t="shared" si="2"/>
        <v>0.67944039312668214</v>
      </c>
      <c r="AA52" s="309">
        <f t="shared" si="3"/>
        <v>0.38365892024428605</v>
      </c>
      <c r="AB52" s="309">
        <f t="shared" si="4"/>
        <v>0.32851972462816187</v>
      </c>
      <c r="AC52" s="309">
        <f t="shared" si="5"/>
        <v>0.58308339191962533</v>
      </c>
      <c r="AD52" s="309">
        <f t="shared" si="6"/>
        <v>0.35213295487268093</v>
      </c>
      <c r="AE52" s="309">
        <f t="shared" si="7"/>
        <v>0.5978581321047074</v>
      </c>
      <c r="AF52" s="309">
        <f t="shared" si="8"/>
        <v>0.32690224471046386</v>
      </c>
      <c r="AG52" s="310">
        <f t="shared" si="9"/>
        <v>1.1200241337227639</v>
      </c>
    </row>
    <row r="53" spans="1:33" ht="15" thickBot="1" x14ac:dyDescent="0.35">
      <c r="A53" s="184" t="s">
        <v>55</v>
      </c>
      <c r="B53" s="304">
        <v>2196</v>
      </c>
      <c r="C53" s="283">
        <v>2178</v>
      </c>
      <c r="D53" s="249">
        <f>Janvier!F53+Fevrier!D53+Mars!D53+Avril!D53+Mai!D53+Juin!D53+Juillet!D53+Aout!D53+Sept!D53+Oct!D53+Nov!D53+Dec!D53</f>
        <v>1460</v>
      </c>
      <c r="E53" s="261">
        <f>+Janvier!H53+Fevrier!F53+Mars!F53+Avril!F53+Mai!F53+Juin!F53+Juillet!F53+Aout!F53+Sept!F53+Oct!F53+Nov!F53+Dec!F53</f>
        <v>0</v>
      </c>
      <c r="F53" s="249">
        <f>Janvier!I53+Fevrier!G53+Mars!G53+Avril!G53+Mai!G53+Juin!G53+Juillet!G53+Aout!G53+Sept!G53+Oct!G53+Nov!G53+Dec!G53</f>
        <v>4060</v>
      </c>
      <c r="G53" s="261">
        <f>+Janvier!K53+Fevrier!I53+Mars!I53+Avril!I53+Mai!I53+Juin!I53+Juillet!I53+Aout!I53+Sept!I53+Oct!I53+Nov!I53+Dec!I53</f>
        <v>0</v>
      </c>
      <c r="H53" s="249">
        <f>Janvier!L53+Fevrier!J53+Mars!J53+Avril!J53+Mai!J53+Juin!J53+Juillet!J53+Aout!J53+Sept!J53+Oct!J53+Nov!J53+Dec!J53</f>
        <v>2770</v>
      </c>
      <c r="I53" s="261">
        <f>Janvier!N53+Fevrier!L53+Mars!L53+Avril!L53+Mai!L53+Juin!L53+Juillet!L53+Aout!L53+Sept!L53+Oct!L53+Nov!L53+Dec!L53</f>
        <v>4</v>
      </c>
      <c r="J53" s="249">
        <f>Janvier!O53+Fevrier!M53+Mars!M53+Avril!M53+Mai!M53+Juin!M53+Juillet!M53+Aout!M53+Sept!M53+Oct!M53+Nov!M53+Dec!M53</f>
        <v>3044</v>
      </c>
      <c r="K53" s="261">
        <f>Janvier!Q53+Fevrier!O53+Mars!O53+Avril!O53+Mai!O53+Juin!O53+Juillet!O53+Aout!O53+Sept!O53+Oct!O53+Nov!O53+Dec!O53</f>
        <v>0</v>
      </c>
      <c r="L53" s="249">
        <f>Janvier!R53+Fevrier!P53+Mars!P53+Avril!P53+Mai!P53+Juin!P53+Juillet!P53+Aout!P53+Sept!P53+Oct!P53+Nov!P53+Dec!P53</f>
        <v>1598</v>
      </c>
      <c r="M53" s="261">
        <f>Janvier!T53+Fevrier!R53+Mars!R53+Avril!R53+Mai!R53+Juin!R53+Juillet!R53+Aout!R53+Sept!R53+Oct!R53+Nov!R53+Dec!R53</f>
        <v>0</v>
      </c>
      <c r="N53" s="249">
        <f>Janvier!U53+Fevrier!S53+Mars!S53+Avril!S53+Mai!S53+Juin!S53+Juillet!S53+Aout!S53+Sept!S53+Oct!S53+Nov!S53+Dec!S53</f>
        <v>1080</v>
      </c>
      <c r="O53" s="261">
        <f>Janvier!W53+Fevrier!U53+Mars!U53+Avril!U53+Mai!U53+Juin!U53+Juillet!U53+Aout!U53+Sept!U53+Oct!U53+Nov!U53+Dec!U53</f>
        <v>0</v>
      </c>
      <c r="P53" s="249">
        <f>Janvier!X53+Fevrier!V53+Mars!V53+Avril!V53+Mai!V53+Juin!V53+Juillet!V53+Aout!V53+Sept!V53+Oct!V53+Nov!V53+Dec!V53</f>
        <v>1730</v>
      </c>
      <c r="Q53" s="261">
        <f>Janvier!Z53+Fevrier!X53+Mars!X53+Avril!X53+Mai!X53+Juin!X53+Juillet!X53+Aout!X53+Sept!X53+Oct!X53+Nov!X53+Dec!X53</f>
        <v>0</v>
      </c>
      <c r="R53" s="249">
        <f>Janvier!AA53+Fevrier!Y53+Mars!Y53+Avril!Y53+Mai!Y53+Juin!Y53+Juillet!Y53+Aout!Y53+Sept!Y53+Oct!Y53+Nov!Y53+Dec!Y53</f>
        <v>1100</v>
      </c>
      <c r="S53" s="261">
        <f>Janvier!AC53+Fevrier!AA53+Mars!AA53+Avril!AA53+Mai!AA53+Juin!AA53+Juillet!AA53+Aout!AA53+Sept!AA53+Oct!AA53+Nov!AA53+Dec!AA53</f>
        <v>56</v>
      </c>
      <c r="T53" s="249">
        <f>Janvier!AD53+Fevrier!AB53+Mars!AB53+Avril!AB53+Mai!AB53+Juin!AB53+Juillet!AB53+Aout!AB53+Sept!AB53+Oct!AB53+Nov!AB53+Dec!AB53</f>
        <v>1120</v>
      </c>
      <c r="U53" s="261">
        <f>Janvier!AF53+Fevrier!AD53+Mars!AD53+Avril!AD53+Mai!AD53+Juin!AD53+Juillet!AD53+Aout!AD53+Sept!AD53+Oct!AD53+Nov!AD53+Dec!AD53</f>
        <v>550</v>
      </c>
      <c r="V53" s="249">
        <f>Janvier!AG53+Fevrier!AE53+Mars!AE53+Avril!AE53+Mai!AE53+Juin!AE53+Juillet!AE53+Aout!AE53+Sept!AE53+Oct!AE53+Nov!AE53+Dec!AE53</f>
        <v>2100</v>
      </c>
      <c r="W53" s="261">
        <f>Janvier!AI53+Fevrier!AG53+Mars!AG53+Avril!AG53+Mai!AG53+Juin!AG53+Juillet!AG53+Aout!AG53+Sept!AG53+Oct!AG53+Nov!AG53+Dec!AG53</f>
        <v>4</v>
      </c>
      <c r="X53" s="309">
        <f t="shared" si="0"/>
        <v>0.52022314009537907</v>
      </c>
      <c r="Y53" s="309">
        <f t="shared" si="1"/>
        <v>0.46649036548026446</v>
      </c>
      <c r="Z53" s="309">
        <f t="shared" si="2"/>
        <v>0.42436069372096302</v>
      </c>
      <c r="AA53" s="309">
        <f t="shared" si="3"/>
        <v>0.30363258571756163</v>
      </c>
      <c r="AB53" s="309">
        <f t="shared" si="4"/>
        <v>0.2448116926231404</v>
      </c>
      <c r="AC53" s="309">
        <f t="shared" si="5"/>
        <v>0.49636413272776908</v>
      </c>
      <c r="AD53" s="309">
        <f t="shared" si="6"/>
        <v>0.35302520151005001</v>
      </c>
      <c r="AE53" s="309">
        <f t="shared" si="7"/>
        <v>0.44893378226711561</v>
      </c>
      <c r="AF53" s="309">
        <f t="shared" si="8"/>
        <v>0.45709621467197226</v>
      </c>
      <c r="AG53" s="310">
        <f t="shared" si="9"/>
        <v>0.85705540250994794</v>
      </c>
    </row>
    <row r="54" spans="1:33" ht="15" thickBot="1" x14ac:dyDescent="0.35">
      <c r="A54" s="279" t="s">
        <v>89</v>
      </c>
      <c r="B54" s="296">
        <v>170533</v>
      </c>
      <c r="C54" s="297">
        <v>167799</v>
      </c>
      <c r="D54" s="305">
        <f>Janvier!F54+Fevrier!D54+Mars!D54+Avril!D54+Mai!D54+Juin!D54+Juillet!D54+Aout!D54+Sept!D54+Oct!D54+Nov!D54+Dec!D54</f>
        <v>172000</v>
      </c>
      <c r="E54" s="293">
        <f>+Janvier!H54+Fevrier!F54+Mars!F54+Avril!F54+Mai!F54+Juin!F54+Juillet!F54+Aout!F54+Sept!F54+Oct!F54+Nov!F54+Dec!F54</f>
        <v>0</v>
      </c>
      <c r="F54" s="305">
        <f>Janvier!I54+Fevrier!G54+Mars!G54+Avril!G54+Mai!G54+Juin!G54+Juillet!G54+Aout!G54+Sept!G54+Oct!G54+Nov!G54+Dec!G54</f>
        <v>352500</v>
      </c>
      <c r="G54" s="293">
        <f>+Janvier!K54+Fevrier!I54+Mars!I54+Avril!I54+Mai!I54+Juin!I54+Juillet!I54+Aout!I54+Sept!I54+Oct!I54+Nov!I54+Dec!I54</f>
        <v>0</v>
      </c>
      <c r="H54" s="305">
        <f>Janvier!L54+Fevrier!J54+Mars!J54+Avril!J54+Mai!J54+Juin!J54+Juillet!J54+Aout!J54+Sept!J54+Oct!J54+Nov!J54+Dec!J54</f>
        <v>299700</v>
      </c>
      <c r="I54" s="293">
        <f>Janvier!N54+Fevrier!L54+Mars!L54+Avril!L54+Mai!L54+Juin!L54+Juillet!L54+Aout!L54+Sept!L54+Oct!L54+Nov!L54+Dec!L54</f>
        <v>0</v>
      </c>
      <c r="J54" s="305">
        <f>Janvier!O54+Fevrier!M54+Mars!M54+Avril!M54+Mai!M54+Juin!M54+Juillet!M54+Aout!M54+Sept!M54+Oct!M54+Nov!M54+Dec!M54</f>
        <v>291200</v>
      </c>
      <c r="K54" s="293">
        <f>Janvier!Q54+Fevrier!O54+Mars!O54+Avril!O54+Mai!O54+Juin!O54+Juillet!O54+Aout!O54+Sept!O54+Oct!O54+Nov!O54+Dec!O54</f>
        <v>0</v>
      </c>
      <c r="L54" s="305">
        <f>Janvier!R54+Fevrier!P54+Mars!P54+Avril!P54+Mai!P54+Juin!P54+Juillet!P54+Aout!P54+Sept!P54+Oct!P54+Nov!P54+Dec!P54</f>
        <v>193900</v>
      </c>
      <c r="M54" s="293">
        <f>Janvier!T54+Fevrier!R54+Mars!R54+Avril!R54+Mai!R54+Juin!R54+Juillet!R54+Aout!R54+Sept!R54+Oct!R54+Nov!R54+Dec!R54</f>
        <v>0</v>
      </c>
      <c r="N54" s="305">
        <f>Janvier!U54+Fevrier!S54+Mars!S54+Avril!S54+Mai!S54+Juin!S54+Juillet!S54+Aout!S54+Sept!S54+Oct!S54+Nov!S54+Dec!S54</f>
        <v>101550</v>
      </c>
      <c r="O54" s="293">
        <f>Janvier!W54+Fevrier!U54+Mars!U54+Avril!U54+Mai!U54+Juin!U54+Juillet!U54+Aout!U54+Sept!U54+Oct!U54+Nov!U54+Dec!U54</f>
        <v>0</v>
      </c>
      <c r="P54" s="305">
        <f>Janvier!X54+Fevrier!V54+Mars!V54+Avril!V54+Mai!V54+Juin!V54+Juillet!V54+Aout!V54+Sept!V54+Oct!V54+Nov!V54+Dec!V54</f>
        <v>162750</v>
      </c>
      <c r="Q54" s="293">
        <f>Janvier!Z54+Fevrier!X54+Mars!X54+Avril!X54+Mai!X54+Juin!X54+Juillet!X54+Aout!X54+Sept!X54+Oct!X54+Nov!X54+Dec!X54</f>
        <v>0</v>
      </c>
      <c r="R54" s="305">
        <f>Janvier!AA54+Fevrier!Y54+Mars!Y54+Avril!Y54+Mai!Y54+Juin!Y54+Juillet!Y54+Aout!Y54+Sept!Y54+Oct!Y54+Nov!Y54+Dec!Y54</f>
        <v>118000</v>
      </c>
      <c r="S54" s="293">
        <f>Janvier!AC54+Fevrier!AA54+Mars!AA54+Avril!AA54+Mai!AA54+Juin!AA54+Juillet!AA54+Aout!AA54+Sept!AA54+Oct!AA54+Nov!AA54+Dec!AA54</f>
        <v>0</v>
      </c>
      <c r="T54" s="305">
        <f>Janvier!AD54+Fevrier!AB54+Mars!AB54+Avril!AB54+Mai!AB54+Juin!AB54+Juillet!AB54+Aout!AB54+Sept!AB54+Oct!AB54+Nov!AB54+Dec!AB54</f>
        <v>131700</v>
      </c>
      <c r="U54" s="293">
        <f>Janvier!AF54+Fevrier!AD54+Mars!AD54+Avril!AD54+Mai!AD54+Juin!AD54+Juillet!AD54+Aout!AD54+Sept!AD54+Oct!AD54+Nov!AD54+Dec!AD54</f>
        <v>26</v>
      </c>
      <c r="V54" s="305">
        <f>Janvier!AG54+Fevrier!AE54+Mars!AE54+Avril!AE54+Mai!AE54+Juin!AE54+Juillet!AE54+Aout!AE54+Sept!AE54+Oct!AE54+Nov!AE54+Dec!AE54</f>
        <v>186100</v>
      </c>
      <c r="W54" s="293">
        <f>Janvier!AI54+Fevrier!AG54+Mars!AG54+Avril!AG54+Mai!AG54+Juin!AG54+Juillet!AG54+Aout!AG54+Sept!AG54+Oct!AG54+Nov!AG54+Dec!AG54</f>
        <v>0</v>
      </c>
      <c r="X54" s="309">
        <f t="shared" si="0"/>
        <v>0.78920378762390264</v>
      </c>
      <c r="Y54" s="309">
        <f t="shared" si="1"/>
        <v>0.52570762169746654</v>
      </c>
      <c r="Z54" s="309">
        <f t="shared" si="2"/>
        <v>0.59595110817108554</v>
      </c>
      <c r="AA54" s="309">
        <f t="shared" si="3"/>
        <v>0.34340659340659341</v>
      </c>
      <c r="AB54" s="309">
        <f t="shared" si="4"/>
        <v>0.38556863488279441</v>
      </c>
      <c r="AC54" s="309">
        <f t="shared" si="5"/>
        <v>0.60579414449222957</v>
      </c>
      <c r="AD54" s="309">
        <f t="shared" si="6"/>
        <v>0.43107130157708529</v>
      </c>
      <c r="AE54" s="309">
        <f t="shared" si="7"/>
        <v>0.62508649568167207</v>
      </c>
      <c r="AF54" s="309">
        <f t="shared" si="8"/>
        <v>0.69766009729895095</v>
      </c>
      <c r="AG54" s="310">
        <f t="shared" si="9"/>
        <v>0.98583556649456927</v>
      </c>
    </row>
    <row r="55" spans="1:33" ht="15" thickBot="1" x14ac:dyDescent="0.35">
      <c r="A55" s="184" t="s">
        <v>21</v>
      </c>
      <c r="B55" s="277">
        <v>9038</v>
      </c>
      <c r="C55" s="278">
        <v>8893</v>
      </c>
      <c r="D55" s="151">
        <f>Janvier!F55+Fevrier!D55+Mars!D55+Avril!D55+Mai!D55+Juin!D55+Juillet!D55+Aout!D55+Sept!D55+Oct!D55+Nov!D55+Dec!D55</f>
        <v>8800</v>
      </c>
      <c r="E55" s="150">
        <f>+Janvier!H55+Fevrier!F55+Mars!F55+Avril!F55+Mai!F55+Juin!F55+Juillet!F55+Aout!F55+Sept!F55+Oct!F55+Nov!F55+Dec!F55</f>
        <v>0</v>
      </c>
      <c r="F55" s="151">
        <f>Janvier!I55+Fevrier!G55+Mars!G55+Avril!G55+Mai!G55+Juin!G55+Juillet!G55+Aout!G55+Sept!G55+Oct!G55+Nov!G55+Dec!G55</f>
        <v>22800</v>
      </c>
      <c r="G55" s="150">
        <f>+Janvier!K55+Fevrier!I55+Mars!I55+Avril!I55+Mai!I55+Juin!I55+Juillet!I55+Aout!I55+Sept!I55+Oct!I55+Nov!I55+Dec!I55</f>
        <v>0</v>
      </c>
      <c r="H55" s="151">
        <f>Janvier!L55+Fevrier!J55+Mars!J55+Avril!J55+Mai!J55+Juin!J55+Juillet!J55+Aout!J55+Sept!J55+Oct!J55+Nov!J55+Dec!J55</f>
        <v>18820</v>
      </c>
      <c r="I55" s="150">
        <f>Janvier!N55+Fevrier!L55+Mars!L55+Avril!L55+Mai!L55+Juin!L55+Juillet!L55+Aout!L55+Sept!L55+Oct!L55+Nov!L55+Dec!L55</f>
        <v>0</v>
      </c>
      <c r="J55" s="151">
        <f>Janvier!O55+Fevrier!M55+Mars!M55+Avril!M55+Mai!M55+Juin!M55+Juillet!M55+Aout!M55+Sept!M55+Oct!M55+Nov!M55+Dec!M55</f>
        <v>18076</v>
      </c>
      <c r="K55" s="150">
        <f>Janvier!Q55+Fevrier!O55+Mars!O55+Avril!O55+Mai!O55+Juin!O55+Juillet!O55+Aout!O55+Sept!O55+Oct!O55+Nov!O55+Dec!O55</f>
        <v>0</v>
      </c>
      <c r="L55" s="151">
        <f>Janvier!R55+Fevrier!P55+Mars!P55+Avril!P55+Mai!P55+Juin!P55+Juillet!P55+Aout!P55+Sept!P55+Oct!P55+Nov!P55+Dec!P55</f>
        <v>11500</v>
      </c>
      <c r="M55" s="150">
        <f>Janvier!T55+Fevrier!R55+Mars!R55+Avril!R55+Mai!R55+Juin!R55+Juillet!R55+Aout!R55+Sept!R55+Oct!R55+Nov!R55+Dec!R55</f>
        <v>0</v>
      </c>
      <c r="N55" s="151">
        <f>Janvier!U55+Fevrier!S55+Mars!S55+Avril!S55+Mai!S55+Juin!S55+Juillet!S55+Aout!S55+Sept!S55+Oct!S55+Nov!S55+Dec!S55</f>
        <v>6770</v>
      </c>
      <c r="O55" s="150">
        <f>Janvier!W55+Fevrier!U55+Mars!U55+Avril!U55+Mai!U55+Juin!U55+Juillet!U55+Aout!U55+Sept!U55+Oct!U55+Nov!U55+Dec!U55</f>
        <v>0</v>
      </c>
      <c r="P55" s="151">
        <f>Janvier!X55+Fevrier!V55+Mars!V55+Avril!V55+Mai!V55+Juin!V55+Juillet!V55+Aout!V55+Sept!V55+Oct!V55+Nov!V55+Dec!V55</f>
        <v>10420</v>
      </c>
      <c r="Q55" s="150">
        <f>Janvier!Z55+Fevrier!X55+Mars!X55+Avril!X55+Mai!X55+Juin!X55+Juillet!X55+Aout!X55+Sept!X55+Oct!X55+Nov!X55+Dec!X55</f>
        <v>0</v>
      </c>
      <c r="R55" s="151">
        <f>Janvier!AA55+Fevrier!Y55+Mars!Y55+Avril!Y55+Mai!Y55+Juin!Y55+Juillet!Y55+Aout!Y55+Sept!Y55+Oct!Y55+Nov!Y55+Dec!Y55</f>
        <v>6700</v>
      </c>
      <c r="S55" s="150">
        <f>Janvier!AC55+Fevrier!AA55+Mars!AA55+Avril!AA55+Mai!AA55+Juin!AA55+Juillet!AA55+Aout!AA55+Sept!AA55+Oct!AA55+Nov!AA55+Dec!AA55</f>
        <v>0</v>
      </c>
      <c r="T55" s="151">
        <f>Janvier!AD55+Fevrier!AB55+Mars!AB55+Avril!AB55+Mai!AB55+Juin!AB55+Juillet!AB55+Aout!AB55+Sept!AB55+Oct!AB55+Nov!AB55+Dec!AB55</f>
        <v>5700</v>
      </c>
      <c r="U55" s="150">
        <f>Janvier!AF55+Fevrier!AD55+Mars!AD55+Avril!AD55+Mai!AD55+Juin!AD55+Juillet!AD55+Aout!AD55+Sept!AD55+Oct!AD55+Nov!AD55+Dec!AD55</f>
        <v>64</v>
      </c>
      <c r="V55" s="151">
        <f>Janvier!AG55+Fevrier!AE55+Mars!AE55+Avril!AE55+Mai!AE55+Juin!AE55+Juillet!AE55+Aout!AE55+Sept!AE55+Oct!AE55+Nov!AE55+Dec!AE55</f>
        <v>10510</v>
      </c>
      <c r="W55" s="150">
        <f>Janvier!AI55+Fevrier!AG55+Mars!AG55+Avril!AG55+Mai!AG55+Juin!AG55+Juillet!AG55+Aout!AG55+Sept!AG55+Oct!AG55+Nov!AG55+Dec!AG55</f>
        <v>0</v>
      </c>
      <c r="X55" s="309">
        <f t="shared" si="0"/>
        <v>0.7618675590213605</v>
      </c>
      <c r="Y55" s="309">
        <f t="shared" si="1"/>
        <v>0.64159515413310531</v>
      </c>
      <c r="Z55" s="309">
        <f t="shared" si="2"/>
        <v>0.70612987139093819</v>
      </c>
      <c r="AA55" s="309">
        <f t="shared" si="3"/>
        <v>0.34740058344100533</v>
      </c>
      <c r="AB55" s="309">
        <f t="shared" si="4"/>
        <v>0.4314821212006264</v>
      </c>
      <c r="AC55" s="309">
        <f t="shared" si="5"/>
        <v>0.76203494622475842</v>
      </c>
      <c r="AD55" s="309">
        <f t="shared" si="6"/>
        <v>0.52075914889363673</v>
      </c>
      <c r="AE55" s="309">
        <f t="shared" si="7"/>
        <v>0.66969026825093392</v>
      </c>
      <c r="AF55" s="309">
        <f t="shared" si="8"/>
        <v>0.56973649687019756</v>
      </c>
      <c r="AG55" s="310">
        <f t="shared" si="9"/>
        <v>1.0505141372115396</v>
      </c>
    </row>
    <row r="56" spans="1:33" ht="15" thickBot="1" x14ac:dyDescent="0.35">
      <c r="A56" s="184" t="s">
        <v>22</v>
      </c>
      <c r="B56" s="212">
        <v>3573</v>
      </c>
      <c r="C56" s="273">
        <v>3515</v>
      </c>
      <c r="D56" s="95">
        <f>Janvier!F56+Fevrier!D56+Mars!D56+Avril!D56+Mai!D56+Juin!D56+Juillet!D56+Aout!D56+Sept!D56+Oct!D56+Nov!D56+Dec!D56</f>
        <v>2160</v>
      </c>
      <c r="E56" s="97">
        <f>+Janvier!H56+Fevrier!F56+Mars!F56+Avril!F56+Mai!F56+Juin!F56+Juillet!F56+Aout!F56+Sept!F56+Oct!F56+Nov!F56+Dec!F56</f>
        <v>0</v>
      </c>
      <c r="F56" s="95">
        <f>Janvier!I56+Fevrier!G56+Mars!G56+Avril!G56+Mai!G56+Juin!G56+Juillet!G56+Aout!G56+Sept!G56+Oct!G56+Nov!G56+Dec!G56</f>
        <v>7300</v>
      </c>
      <c r="G56" s="97">
        <f>+Janvier!K56+Fevrier!I56+Mars!I56+Avril!I56+Mai!I56+Juin!I56+Juillet!I56+Aout!I56+Sept!I56+Oct!I56+Nov!I56+Dec!I56</f>
        <v>0</v>
      </c>
      <c r="H56" s="95">
        <f>Janvier!L56+Fevrier!J56+Mars!J56+Avril!J56+Mai!J56+Juin!J56+Juillet!J56+Aout!J56+Sept!J56+Oct!J56+Nov!J56+Dec!J56</f>
        <v>6240</v>
      </c>
      <c r="I56" s="97">
        <f>Janvier!N56+Fevrier!L56+Mars!L56+Avril!L56+Mai!L56+Juin!L56+Juillet!L56+Aout!L56+Sept!L56+Oct!L56+Nov!L56+Dec!L56</f>
        <v>0</v>
      </c>
      <c r="J56" s="95">
        <f>Janvier!O56+Fevrier!M56+Mars!M56+Avril!M56+Mai!M56+Juin!M56+Juillet!M56+Aout!M56+Sept!M56+Oct!M56+Nov!M56+Dec!M56</f>
        <v>6220</v>
      </c>
      <c r="K56" s="97">
        <f>Janvier!Q56+Fevrier!O56+Mars!O56+Avril!O56+Mai!O56+Juin!O56+Juillet!O56+Aout!O56+Sept!O56+Oct!O56+Nov!O56+Dec!O56</f>
        <v>0</v>
      </c>
      <c r="L56" s="95">
        <f>Janvier!R56+Fevrier!P56+Mars!P56+Avril!P56+Mai!P56+Juin!P56+Juillet!P56+Aout!P56+Sept!P56+Oct!P56+Nov!P56+Dec!P56</f>
        <v>3000</v>
      </c>
      <c r="M56" s="97">
        <f>Janvier!T56+Fevrier!R56+Mars!R56+Avril!R56+Mai!R56+Juin!R56+Juillet!R56+Aout!R56+Sept!R56+Oct!R56+Nov!R56+Dec!R56</f>
        <v>0</v>
      </c>
      <c r="N56" s="95">
        <f>Janvier!U56+Fevrier!S56+Mars!S56+Avril!S56+Mai!S56+Juin!S56+Juillet!S56+Aout!S56+Sept!S56+Oct!S56+Nov!S56+Dec!S56</f>
        <v>2905</v>
      </c>
      <c r="O56" s="97">
        <f>Janvier!W56+Fevrier!U56+Mars!U56+Avril!U56+Mai!U56+Juin!U56+Juillet!U56+Aout!U56+Sept!U56+Oct!U56+Nov!U56+Dec!U56</f>
        <v>0</v>
      </c>
      <c r="P56" s="95">
        <f>Janvier!X56+Fevrier!V56+Mars!V56+Avril!V56+Mai!V56+Juin!V56+Juillet!V56+Aout!V56+Sept!V56+Oct!V56+Nov!V56+Dec!V56</f>
        <v>3400</v>
      </c>
      <c r="Q56" s="97">
        <f>Janvier!Z56+Fevrier!X56+Mars!X56+Avril!X56+Mai!X56+Juin!X56+Juillet!X56+Aout!X56+Sept!X56+Oct!X56+Nov!X56+Dec!X56</f>
        <v>0</v>
      </c>
      <c r="R56" s="95">
        <f>Janvier!AA56+Fevrier!Y56+Mars!Y56+Avril!Y56+Mai!Y56+Juin!Y56+Juillet!Y56+Aout!Y56+Sept!Y56+Oct!Y56+Nov!Y56+Dec!Y56</f>
        <v>2420</v>
      </c>
      <c r="S56" s="97">
        <f>Janvier!AC56+Fevrier!AA56+Mars!AA56+Avril!AA56+Mai!AA56+Juin!AA56+Juillet!AA56+Aout!AA56+Sept!AA56+Oct!AA56+Nov!AA56+Dec!AA56</f>
        <v>0</v>
      </c>
      <c r="T56" s="95">
        <f>Janvier!AD56+Fevrier!AB56+Mars!AB56+Avril!AB56+Mai!AB56+Juin!AB56+Juillet!AB56+Aout!AB56+Sept!AB56+Oct!AB56+Nov!AB56+Dec!AB56</f>
        <v>1800</v>
      </c>
      <c r="U56" s="97">
        <f>Janvier!AF56+Fevrier!AD56+Mars!AD56+Avril!AD56+Mai!AD56+Juin!AD56+Juillet!AD56+Aout!AD56+Sept!AD56+Oct!AD56+Nov!AD56+Dec!AD56</f>
        <v>64</v>
      </c>
      <c r="V56" s="95">
        <f>Janvier!AG56+Fevrier!AE56+Mars!AE56+Avril!AE56+Mai!AE56+Juin!AE56+Juillet!AE56+Aout!AE56+Sept!AE56+Oct!AE56+Nov!AE56+Dec!AE56</f>
        <v>3720</v>
      </c>
      <c r="W56" s="97">
        <f>Janvier!AI56+Fevrier!AG56+Mars!AG56+Avril!AG56+Mai!AG56+Juin!AG56+Juillet!AG56+Aout!AG56+Sept!AG56+Oct!AG56+Nov!AG56+Dec!AG56</f>
        <v>0</v>
      </c>
      <c r="X56" s="309">
        <f t="shared" si="0"/>
        <v>0.47303130284646588</v>
      </c>
      <c r="Y56" s="309">
        <f t="shared" si="1"/>
        <v>0.51972313707733331</v>
      </c>
      <c r="Z56" s="309">
        <f t="shared" si="2"/>
        <v>0.59234198636759083</v>
      </c>
      <c r="AA56" s="309">
        <f t="shared" si="3"/>
        <v>0.33473988457911286</v>
      </c>
      <c r="AB56" s="309">
        <f t="shared" si="4"/>
        <v>0.28477980113826484</v>
      </c>
      <c r="AC56" s="309">
        <f t="shared" si="5"/>
        <v>0.82728532230665941</v>
      </c>
      <c r="AD56" s="309">
        <f t="shared" si="6"/>
        <v>0.42990358779832466</v>
      </c>
      <c r="AE56" s="309">
        <f t="shared" si="7"/>
        <v>0.61198040145408561</v>
      </c>
      <c r="AF56" s="309">
        <f t="shared" si="8"/>
        <v>0.45519203413940257</v>
      </c>
      <c r="AG56" s="310">
        <f t="shared" si="9"/>
        <v>0.94073020388809858</v>
      </c>
    </row>
    <row r="57" spans="1:33" ht="15" thickBot="1" x14ac:dyDescent="0.35">
      <c r="A57" s="184" t="s">
        <v>25</v>
      </c>
      <c r="B57" s="212">
        <v>6710</v>
      </c>
      <c r="C57" s="273">
        <v>6603</v>
      </c>
      <c r="D57" s="95">
        <f>Janvier!F57+Fevrier!D57+Mars!D57+Avril!D57+Mai!D57+Juin!D57+Juillet!D57+Aout!D57+Sept!D57+Oct!D57+Nov!D57+Dec!D57</f>
        <v>7480</v>
      </c>
      <c r="E57" s="97">
        <f>+Janvier!H57+Fevrier!F57+Mars!F57+Avril!F57+Mai!F57+Juin!F57+Juillet!F57+Aout!F57+Sept!F57+Oct!F57+Nov!F57+Dec!F57</f>
        <v>0</v>
      </c>
      <c r="F57" s="95">
        <f>Janvier!I57+Fevrier!G57+Mars!G57+Avril!G57+Mai!G57+Juin!G57+Juillet!G57+Aout!G57+Sept!G57+Oct!G57+Nov!G57+Dec!G57</f>
        <v>17240</v>
      </c>
      <c r="G57" s="97">
        <f>+Janvier!K57+Fevrier!I57+Mars!I57+Avril!I57+Mai!I57+Juin!I57+Juillet!I57+Aout!I57+Sept!I57+Oct!I57+Nov!I57+Dec!I57</f>
        <v>0</v>
      </c>
      <c r="H57" s="95">
        <f>Janvier!L57+Fevrier!J57+Mars!J57+Avril!J57+Mai!J57+Juin!J57+Juillet!J57+Aout!J57+Sept!J57+Oct!J57+Nov!J57+Dec!J57</f>
        <v>13860</v>
      </c>
      <c r="I57" s="97">
        <f>Janvier!N57+Fevrier!L57+Mars!L57+Avril!L57+Mai!L57+Juin!L57+Juillet!L57+Aout!L57+Sept!L57+Oct!L57+Nov!L57+Dec!L57</f>
        <v>0</v>
      </c>
      <c r="J57" s="95">
        <f>Janvier!O57+Fevrier!M57+Mars!M57+Avril!M57+Mai!M57+Juin!M57+Juillet!M57+Aout!M57+Sept!M57+Oct!M57+Nov!M57+Dec!M57</f>
        <v>12676</v>
      </c>
      <c r="K57" s="97">
        <f>Janvier!Q57+Fevrier!O57+Mars!O57+Avril!O57+Mai!O57+Juin!O57+Juillet!O57+Aout!O57+Sept!O57+Oct!O57+Nov!O57+Dec!O57</f>
        <v>0</v>
      </c>
      <c r="L57" s="95">
        <f>Janvier!R57+Fevrier!P57+Mars!P57+Avril!P57+Mai!P57+Juin!P57+Juillet!P57+Aout!P57+Sept!P57+Oct!P57+Nov!P57+Dec!P57</f>
        <v>8522</v>
      </c>
      <c r="M57" s="97">
        <f>Janvier!T57+Fevrier!R57+Mars!R57+Avril!R57+Mai!R57+Juin!R57+Juillet!R57+Aout!R57+Sept!R57+Oct!R57+Nov!R57+Dec!R57</f>
        <v>0</v>
      </c>
      <c r="N57" s="95">
        <f>Janvier!U57+Fevrier!S57+Mars!S57+Avril!S57+Mai!S57+Juin!S57+Juillet!S57+Aout!S57+Sept!S57+Oct!S57+Nov!S57+Dec!S57</f>
        <v>4470</v>
      </c>
      <c r="O57" s="97">
        <f>Janvier!W57+Fevrier!U57+Mars!U57+Avril!U57+Mai!U57+Juin!U57+Juillet!U57+Aout!U57+Sept!U57+Oct!U57+Nov!U57+Dec!U57</f>
        <v>0</v>
      </c>
      <c r="P57" s="95">
        <f>Janvier!X57+Fevrier!V57+Mars!V57+Avril!V57+Mai!V57+Juin!V57+Juillet!V57+Aout!V57+Sept!V57+Oct!V57+Nov!V57+Dec!V57</f>
        <v>8250</v>
      </c>
      <c r="Q57" s="97">
        <f>Janvier!Z57+Fevrier!X57+Mars!X57+Avril!X57+Mai!X57+Juin!X57+Juillet!X57+Aout!X57+Sept!X57+Oct!X57+Nov!X57+Dec!X57</f>
        <v>0</v>
      </c>
      <c r="R57" s="95">
        <f>Janvier!AA57+Fevrier!Y57+Mars!Y57+Avril!Y57+Mai!Y57+Juin!Y57+Juillet!Y57+Aout!Y57+Sept!Y57+Oct!Y57+Nov!Y57+Dec!Y57</f>
        <v>4740</v>
      </c>
      <c r="S57" s="97">
        <f>Janvier!AC57+Fevrier!AA57+Mars!AA57+Avril!AA57+Mai!AA57+Juin!AA57+Juillet!AA57+Aout!AA57+Sept!AA57+Oct!AA57+Nov!AA57+Dec!AA57</f>
        <v>0</v>
      </c>
      <c r="T57" s="95">
        <f>Janvier!AD57+Fevrier!AB57+Mars!AB57+Avril!AB57+Mai!AB57+Juin!AB57+Juillet!AB57+Aout!AB57+Sept!AB57+Oct!AB57+Nov!AB57+Dec!AB57</f>
        <v>4540</v>
      </c>
      <c r="U57" s="97">
        <f>Janvier!AF57+Fevrier!AD57+Mars!AD57+Avril!AD57+Mai!AD57+Juin!AD57+Juillet!AD57+Aout!AD57+Sept!AD57+Oct!AD57+Nov!AD57+Dec!AD57</f>
        <v>23</v>
      </c>
      <c r="V57" s="95">
        <f>Janvier!AG57+Fevrier!AE57+Mars!AE57+Avril!AE57+Mai!AE57+Juin!AE57+Juillet!AE57+Aout!AE57+Sept!AE57+Oct!AE57+Nov!AE57+Dec!AE57</f>
        <v>7450</v>
      </c>
      <c r="W57" s="97">
        <f>Janvier!AI57+Fevrier!AG57+Mars!AG57+Avril!AG57+Mai!AG57+Juin!AG57+Juillet!AG57+Aout!AG57+Sept!AG57+Oct!AG57+Nov!AG57+Dec!AG57</f>
        <v>0</v>
      </c>
      <c r="X57" s="309">
        <f t="shared" si="0"/>
        <v>0.8722645527078684</v>
      </c>
      <c r="Y57" s="309">
        <f t="shared" si="1"/>
        <v>0.6533869929296251</v>
      </c>
      <c r="Z57" s="309">
        <f t="shared" si="2"/>
        <v>0.70038234508929653</v>
      </c>
      <c r="AA57" s="309">
        <f t="shared" si="3"/>
        <v>0.36483311964536325</v>
      </c>
      <c r="AB57" s="309">
        <f t="shared" si="4"/>
        <v>0.43063913022012879</v>
      </c>
      <c r="AC57" s="309">
        <f t="shared" si="5"/>
        <v>0.67764265856042327</v>
      </c>
      <c r="AD57" s="309">
        <f t="shared" si="6"/>
        <v>0.55530314503508504</v>
      </c>
      <c r="AE57" s="309">
        <f t="shared" si="7"/>
        <v>0.63809379574940683</v>
      </c>
      <c r="AF57" s="309">
        <f t="shared" si="8"/>
        <v>0.61117000689922085</v>
      </c>
      <c r="AG57" s="310">
        <f t="shared" si="9"/>
        <v>1.0029111346694264</v>
      </c>
    </row>
    <row r="58" spans="1:33" ht="15" thickBot="1" x14ac:dyDescent="0.35">
      <c r="A58" s="184" t="s">
        <v>23</v>
      </c>
      <c r="B58" s="212">
        <v>4193</v>
      </c>
      <c r="C58" s="273">
        <v>4126</v>
      </c>
      <c r="D58" s="95">
        <f>Janvier!F58+Fevrier!D58+Mars!D58+Avril!D58+Mai!D58+Juin!D58+Juillet!D58+Aout!D58+Sept!D58+Oct!D58+Nov!D58+Dec!D58</f>
        <v>4100</v>
      </c>
      <c r="E58" s="97">
        <f>+Janvier!H58+Fevrier!F58+Mars!F58+Avril!F58+Mai!F58+Juin!F58+Juillet!F58+Aout!F58+Sept!F58+Oct!F58+Nov!F58+Dec!F58</f>
        <v>12</v>
      </c>
      <c r="F58" s="95">
        <f>Janvier!I58+Fevrier!G58+Mars!G58+Avril!G58+Mai!G58+Juin!G58+Juillet!G58+Aout!G58+Sept!G58+Oct!G58+Nov!G58+Dec!G58</f>
        <v>12340</v>
      </c>
      <c r="G58" s="97">
        <f>+Janvier!K58+Fevrier!I58+Mars!I58+Avril!I58+Mai!I58+Juin!I58+Juillet!I58+Aout!I58+Sept!I58+Oct!I58+Nov!I58+Dec!I58</f>
        <v>0</v>
      </c>
      <c r="H58" s="95">
        <f>Janvier!L58+Fevrier!J58+Mars!J58+Avril!J58+Mai!J58+Juin!J58+Juillet!J58+Aout!J58+Sept!J58+Oct!J58+Nov!J58+Dec!J58</f>
        <v>9960</v>
      </c>
      <c r="I58" s="97">
        <f>Janvier!N58+Fevrier!L58+Mars!L58+Avril!L58+Mai!L58+Juin!L58+Juillet!L58+Aout!L58+Sept!L58+Oct!L58+Nov!L58+Dec!L58</f>
        <v>0</v>
      </c>
      <c r="J58" s="95">
        <f>Janvier!O58+Fevrier!M58+Mars!M58+Avril!M58+Mai!M58+Juin!M58+Juillet!M58+Aout!M58+Sept!M58+Oct!M58+Nov!M58+Dec!M58</f>
        <v>8352</v>
      </c>
      <c r="K58" s="97">
        <f>Janvier!Q58+Fevrier!O58+Mars!O58+Avril!O58+Mai!O58+Juin!O58+Juillet!O58+Aout!O58+Sept!O58+Oct!O58+Nov!O58+Dec!O58</f>
        <v>0</v>
      </c>
      <c r="L58" s="95">
        <f>Janvier!R58+Fevrier!P58+Mars!P58+Avril!P58+Mai!P58+Juin!P58+Juillet!P58+Aout!P58+Sept!P58+Oct!P58+Nov!P58+Dec!P58</f>
        <v>5250</v>
      </c>
      <c r="M58" s="97">
        <f>Janvier!T58+Fevrier!R58+Mars!R58+Avril!R58+Mai!R58+Juin!R58+Juillet!R58+Aout!R58+Sept!R58+Oct!R58+Nov!R58+Dec!R58</f>
        <v>0</v>
      </c>
      <c r="N58" s="95">
        <f>Janvier!U58+Fevrier!S58+Mars!S58+Avril!S58+Mai!S58+Juin!S58+Juillet!S58+Aout!S58+Sept!S58+Oct!S58+Nov!S58+Dec!S58</f>
        <v>3330</v>
      </c>
      <c r="O58" s="97">
        <f>Janvier!W58+Fevrier!U58+Mars!U58+Avril!U58+Mai!U58+Juin!U58+Juillet!U58+Aout!U58+Sept!U58+Oct!U58+Nov!U58+Dec!U58</f>
        <v>12</v>
      </c>
      <c r="P58" s="95">
        <f>Janvier!X58+Fevrier!V58+Mars!V58+Avril!V58+Mai!V58+Juin!V58+Juillet!V58+Aout!V58+Sept!V58+Oct!V58+Nov!V58+Dec!V58</f>
        <v>4080</v>
      </c>
      <c r="Q58" s="97">
        <f>Janvier!Z58+Fevrier!X58+Mars!X58+Avril!X58+Mai!X58+Juin!X58+Juillet!X58+Aout!X58+Sept!X58+Oct!X58+Nov!X58+Dec!X58</f>
        <v>0</v>
      </c>
      <c r="R58" s="95">
        <f>Janvier!AA58+Fevrier!Y58+Mars!Y58+Avril!Y58+Mai!Y58+Juin!Y58+Juillet!Y58+Aout!Y58+Sept!Y58+Oct!Y58+Nov!Y58+Dec!Y58</f>
        <v>3140</v>
      </c>
      <c r="S58" s="97">
        <f>Janvier!AC58+Fevrier!AA58+Mars!AA58+Avril!AA58+Mai!AA58+Juin!AA58+Juillet!AA58+Aout!AA58+Sept!AA58+Oct!AA58+Nov!AA58+Dec!AA58</f>
        <v>0</v>
      </c>
      <c r="T58" s="95">
        <f>Janvier!AD58+Fevrier!AB58+Mars!AB58+Avril!AB58+Mai!AB58+Juin!AB58+Juillet!AB58+Aout!AB58+Sept!AB58+Oct!AB58+Nov!AB58+Dec!AB58</f>
        <v>2750</v>
      </c>
      <c r="U58" s="97">
        <f>Janvier!AF58+Fevrier!AD58+Mars!AD58+Avril!AD58+Mai!AD58+Juin!AD58+Juillet!AD58+Aout!AD58+Sept!AD58+Oct!AD58+Nov!AD58+Dec!AD58</f>
        <v>32</v>
      </c>
      <c r="V58" s="95">
        <f>Janvier!AG58+Fevrier!AE58+Mars!AE58+Avril!AE58+Mai!AE58+Juin!AE58+Juillet!AE58+Aout!AE58+Sept!AE58+Oct!AE58+Nov!AE58+Dec!AE58</f>
        <v>4700</v>
      </c>
      <c r="W58" s="97">
        <f>Janvier!AI58+Fevrier!AG58+Mars!AG58+Avril!AG58+Mai!AG58+Juin!AG58+Juillet!AG58+Aout!AG58+Sept!AG58+Oct!AG58+Nov!AG58+Dec!AG58</f>
        <v>0</v>
      </c>
      <c r="X58" s="309">
        <f t="shared" si="0"/>
        <v>0.76511750898639841</v>
      </c>
      <c r="Y58" s="309">
        <f t="shared" si="1"/>
        <v>0.74844597384587674</v>
      </c>
      <c r="Z58" s="309">
        <f t="shared" si="2"/>
        <v>0.80545887622959844</v>
      </c>
      <c r="AA58" s="309">
        <f t="shared" si="3"/>
        <v>0.39790748603009135</v>
      </c>
      <c r="AB58" s="309">
        <f t="shared" si="4"/>
        <v>0.4245641666872883</v>
      </c>
      <c r="AC58" s="309">
        <f t="shared" si="5"/>
        <v>0.80788495718209719</v>
      </c>
      <c r="AD58" s="309">
        <f t="shared" si="6"/>
        <v>0.43948941670706093</v>
      </c>
      <c r="AE58" s="309">
        <f t="shared" si="7"/>
        <v>0.67646900414714273</v>
      </c>
      <c r="AF58" s="309">
        <f t="shared" si="8"/>
        <v>0.59244896860020468</v>
      </c>
      <c r="AG58" s="310">
        <f t="shared" si="9"/>
        <v>1.0125491463348952</v>
      </c>
    </row>
    <row r="59" spans="1:33" ht="15" thickBot="1" x14ac:dyDescent="0.35">
      <c r="A59" s="184" t="s">
        <v>24</v>
      </c>
      <c r="B59" s="212">
        <v>5317</v>
      </c>
      <c r="C59" s="273">
        <v>5232</v>
      </c>
      <c r="D59" s="95">
        <f>Janvier!F59+Fevrier!D59+Mars!D59+Avril!D59+Mai!D59+Juin!D59+Juillet!D59+Aout!D59+Sept!D59+Oct!D59+Nov!D59+Dec!D59</f>
        <v>6000</v>
      </c>
      <c r="E59" s="97">
        <f>+Janvier!H59+Fevrier!F59+Mars!F59+Avril!F59+Mai!F59+Juin!F59+Juillet!F59+Aout!F59+Sept!F59+Oct!F59+Nov!F59+Dec!F59</f>
        <v>3</v>
      </c>
      <c r="F59" s="95">
        <f>Janvier!I59+Fevrier!G59+Mars!G59+Avril!G59+Mai!G59+Juin!G59+Juillet!G59+Aout!G59+Sept!G59+Oct!G59+Nov!G59+Dec!G59</f>
        <v>16740</v>
      </c>
      <c r="G59" s="97">
        <f>+Janvier!K59+Fevrier!I59+Mars!I59+Avril!I59+Mai!I59+Juin!I59+Juillet!I59+Aout!I59+Sept!I59+Oct!I59+Nov!I59+Dec!I59</f>
        <v>0</v>
      </c>
      <c r="H59" s="95">
        <f>Janvier!L59+Fevrier!J59+Mars!J59+Avril!J59+Mai!J59+Juin!J59+Juillet!J59+Aout!J59+Sept!J59+Oct!J59+Nov!J59+Dec!J59</f>
        <v>11420</v>
      </c>
      <c r="I59" s="97">
        <f>Janvier!N59+Fevrier!L59+Mars!L59+Avril!L59+Mai!L59+Juin!L59+Juillet!L59+Aout!L59+Sept!L59+Oct!L59+Nov!L59+Dec!L59</f>
        <v>0</v>
      </c>
      <c r="J59" s="95">
        <f>Janvier!O59+Fevrier!M59+Mars!M59+Avril!M59+Mai!M59+Juin!M59+Juillet!M59+Aout!M59+Sept!M59+Oct!M59+Nov!M59+Dec!M59</f>
        <v>10748</v>
      </c>
      <c r="K59" s="97">
        <f>Janvier!Q59+Fevrier!O59+Mars!O59+Avril!O59+Mai!O59+Juin!O59+Juillet!O59+Aout!O59+Sept!O59+Oct!O59+Nov!O59+Dec!O59</f>
        <v>0</v>
      </c>
      <c r="L59" s="95">
        <f>Janvier!R59+Fevrier!P59+Mars!P59+Avril!P59+Mai!P59+Juin!P59+Juillet!P59+Aout!P59+Sept!P59+Oct!P59+Nov!P59+Dec!P59</f>
        <v>6424</v>
      </c>
      <c r="M59" s="97">
        <f>Janvier!T59+Fevrier!R59+Mars!R59+Avril!R59+Mai!R59+Juin!R59+Juillet!R59+Aout!R59+Sept!R59+Oct!R59+Nov!R59+Dec!R59</f>
        <v>0</v>
      </c>
      <c r="N59" s="95">
        <f>Janvier!U59+Fevrier!S59+Mars!S59+Avril!S59+Mai!S59+Juin!S59+Juillet!S59+Aout!S59+Sept!S59+Oct!S59+Nov!S59+Dec!S59</f>
        <v>4060</v>
      </c>
      <c r="O59" s="97">
        <f>Janvier!W59+Fevrier!U59+Mars!U59+Avril!U59+Mai!U59+Juin!U59+Juillet!U59+Aout!U59+Sept!U59+Oct!U59+Nov!U59+Dec!U59</f>
        <v>3</v>
      </c>
      <c r="P59" s="95">
        <f>Janvier!X59+Fevrier!V59+Mars!V59+Avril!V59+Mai!V59+Juin!V59+Juillet!V59+Aout!V59+Sept!V59+Oct!V59+Nov!V59+Dec!V59</f>
        <v>7720</v>
      </c>
      <c r="Q59" s="97">
        <f>Janvier!Z59+Fevrier!X59+Mars!X59+Avril!X59+Mai!X59+Juin!X59+Juillet!X59+Aout!X59+Sept!X59+Oct!X59+Nov!X59+Dec!X59</f>
        <v>0</v>
      </c>
      <c r="R59" s="95">
        <f>Janvier!AA59+Fevrier!Y59+Mars!Y59+Avril!Y59+Mai!Y59+Juin!Y59+Juillet!Y59+Aout!Y59+Sept!Y59+Oct!Y59+Nov!Y59+Dec!Y59</f>
        <v>4260</v>
      </c>
      <c r="S59" s="97">
        <f>Janvier!AC59+Fevrier!AA59+Mars!AA59+Avril!AA59+Mai!AA59+Juin!AA59+Juillet!AA59+Aout!AA59+Sept!AA59+Oct!AA59+Nov!AA59+Dec!AA59</f>
        <v>0</v>
      </c>
      <c r="T59" s="95">
        <f>Janvier!AD59+Fevrier!AB59+Mars!AB59+Avril!AB59+Mai!AB59+Juin!AB59+Juillet!AB59+Aout!AB59+Sept!AB59+Oct!AB59+Nov!AB59+Dec!AB59</f>
        <v>3420</v>
      </c>
      <c r="U59" s="97">
        <f>Janvier!AF59+Fevrier!AD59+Mars!AD59+Avril!AD59+Mai!AD59+Juin!AD59+Juillet!AD59+Aout!AD59+Sept!AD59+Oct!AD59+Nov!AD59+Dec!AD59</f>
        <v>29</v>
      </c>
      <c r="V59" s="95">
        <f>Janvier!AG59+Fevrier!AE59+Mars!AE59+Avril!AE59+Mai!AE59+Juin!AE59+Juillet!AE59+Aout!AE59+Sept!AE59+Oct!AE59+Nov!AE59+Dec!AE59</f>
        <v>7930</v>
      </c>
      <c r="W59" s="97">
        <f>Janvier!AI59+Fevrier!AG59+Mars!AG59+Avril!AG59+Mai!AG59+Juin!AG59+Juillet!AG59+Aout!AG59+Sept!AG59+Oct!AG59+Nov!AG59+Dec!AG59</f>
        <v>3</v>
      </c>
      <c r="X59" s="309">
        <f t="shared" si="0"/>
        <v>0.88298583425826094</v>
      </c>
      <c r="Y59" s="309">
        <f t="shared" si="1"/>
        <v>0.80068600710802529</v>
      </c>
      <c r="Z59" s="309">
        <f t="shared" si="2"/>
        <v>0.72830220638579435</v>
      </c>
      <c r="AA59" s="309">
        <f t="shared" si="3"/>
        <v>0.35452894899613663</v>
      </c>
      <c r="AB59" s="309">
        <f t="shared" si="4"/>
        <v>0.40968593466045039</v>
      </c>
      <c r="AC59" s="309">
        <f t="shared" si="5"/>
        <v>0.77677065444649529</v>
      </c>
      <c r="AD59" s="309">
        <f t="shared" si="6"/>
        <v>0.65579340808698605</v>
      </c>
      <c r="AE59" s="309">
        <f t="shared" si="7"/>
        <v>0.72375127420998986</v>
      </c>
      <c r="AF59" s="309">
        <f t="shared" si="8"/>
        <v>0.58103975535168195</v>
      </c>
      <c r="AG59" s="310">
        <f t="shared" si="9"/>
        <v>1.347264695888549</v>
      </c>
    </row>
    <row r="60" spans="1:33" ht="15" thickBot="1" x14ac:dyDescent="0.35">
      <c r="A60" s="184" t="s">
        <v>26</v>
      </c>
      <c r="B60" s="212">
        <v>19213</v>
      </c>
      <c r="C60" s="273">
        <v>18905</v>
      </c>
      <c r="D60" s="95">
        <f>Janvier!F60+Fevrier!D60+Mars!D60+Avril!D60+Mai!D60+Juin!D60+Juillet!D60+Aout!D60+Sept!D60+Oct!D60+Nov!D60+Dec!D60</f>
        <v>17560</v>
      </c>
      <c r="E60" s="97">
        <f>+Janvier!H60+Fevrier!F60+Mars!F60+Avril!F60+Mai!F60+Juin!F60+Juillet!F60+Aout!F60+Sept!F60+Oct!F60+Nov!F60+Dec!F60</f>
        <v>0</v>
      </c>
      <c r="F60" s="95">
        <f>Janvier!I60+Fevrier!G60+Mars!G60+Avril!G60+Mai!G60+Juin!G60+Juillet!G60+Aout!G60+Sept!G60+Oct!G60+Nov!G60+Dec!G60</f>
        <v>46100</v>
      </c>
      <c r="G60" s="97">
        <f>+Janvier!K60+Fevrier!I60+Mars!I60+Avril!I60+Mai!I60+Juin!I60+Juillet!I60+Aout!I60+Sept!I60+Oct!I60+Nov!I60+Dec!I60</f>
        <v>0</v>
      </c>
      <c r="H60" s="95">
        <f>Janvier!L60+Fevrier!J60+Mars!J60+Avril!J60+Mai!J60+Juin!J60+Juillet!J60+Aout!J60+Sept!J60+Oct!J60+Nov!J60+Dec!J60</f>
        <v>34400</v>
      </c>
      <c r="I60" s="97">
        <f>Janvier!N60+Fevrier!L60+Mars!L60+Avril!L60+Mai!L60+Juin!L60+Juillet!L60+Aout!L60+Sept!L60+Oct!L60+Nov!L60+Dec!L60</f>
        <v>0</v>
      </c>
      <c r="J60" s="95">
        <f>Janvier!O60+Fevrier!M60+Mars!M60+Avril!M60+Mai!M60+Juin!M60+Juillet!M60+Aout!M60+Sept!M60+Oct!M60+Nov!M60+Dec!M60</f>
        <v>33600</v>
      </c>
      <c r="K60" s="97">
        <f>Janvier!Q60+Fevrier!O60+Mars!O60+Avril!O60+Mai!O60+Juin!O60+Juillet!O60+Aout!O60+Sept!O60+Oct!O60+Nov!O60+Dec!O60</f>
        <v>0</v>
      </c>
      <c r="L60" s="95">
        <f>Janvier!R60+Fevrier!P60+Mars!P60+Avril!P60+Mai!P60+Juin!P60+Juillet!P60+Aout!P60+Sept!P60+Oct!P60+Nov!P60+Dec!P60</f>
        <v>22350</v>
      </c>
      <c r="M60" s="97">
        <f>Janvier!T60+Fevrier!R60+Mars!R60+Avril!R60+Mai!R60+Juin!R60+Juillet!R60+Aout!R60+Sept!R60+Oct!R60+Nov!R60+Dec!R60</f>
        <v>0</v>
      </c>
      <c r="N60" s="95">
        <f>Janvier!U60+Fevrier!S60+Mars!S60+Avril!S60+Mai!S60+Juin!S60+Juillet!S60+Aout!S60+Sept!S60+Oct!S60+Nov!S60+Dec!S60</f>
        <v>12100</v>
      </c>
      <c r="O60" s="97">
        <f>Janvier!W60+Fevrier!U60+Mars!U60+Avril!U60+Mai!U60+Juin!U60+Juillet!U60+Aout!U60+Sept!U60+Oct!U60+Nov!U60+Dec!U60</f>
        <v>0</v>
      </c>
      <c r="P60" s="95">
        <f>Janvier!X60+Fevrier!V60+Mars!V60+Avril!V60+Mai!V60+Juin!V60+Juillet!V60+Aout!V60+Sept!V60+Oct!V60+Nov!V60+Dec!V60</f>
        <v>20500</v>
      </c>
      <c r="Q60" s="97">
        <f>Janvier!Z60+Fevrier!X60+Mars!X60+Avril!X60+Mai!X60+Juin!X60+Juillet!X60+Aout!X60+Sept!X60+Oct!X60+Nov!X60+Dec!X60</f>
        <v>0</v>
      </c>
      <c r="R60" s="95">
        <f>Janvier!AA60+Fevrier!Y60+Mars!Y60+Avril!Y60+Mai!Y60+Juin!Y60+Juillet!Y60+Aout!Y60+Sept!Y60+Oct!Y60+Nov!Y60+Dec!Y60</f>
        <v>12890</v>
      </c>
      <c r="S60" s="97">
        <f>Janvier!AC60+Fevrier!AA60+Mars!AA60+Avril!AA60+Mai!AA60+Juin!AA60+Juillet!AA60+Aout!AA60+Sept!AA60+Oct!AA60+Nov!AA60+Dec!AA60</f>
        <v>0</v>
      </c>
      <c r="T60" s="95">
        <f>Janvier!AD60+Fevrier!AB60+Mars!AB60+Avril!AB60+Mai!AB60+Juin!AB60+Juillet!AB60+Aout!AB60+Sept!AB60+Oct!AB60+Nov!AB60+Dec!AB60</f>
        <v>10540</v>
      </c>
      <c r="U60" s="97">
        <f>Janvier!AF60+Fevrier!AD60+Mars!AD60+Avril!AD60+Mai!AD60+Juin!AD60+Juillet!AD60+Aout!AD60+Sept!AD60+Oct!AD60+Nov!AD60+Dec!AD60</f>
        <v>74</v>
      </c>
      <c r="V60" s="95">
        <f>Janvier!AG60+Fevrier!AE60+Mars!AE60+Avril!AE60+Mai!AE60+Juin!AE60+Juillet!AE60+Aout!AE60+Sept!AE60+Oct!AE60+Nov!AE60+Dec!AE60</f>
        <v>18500</v>
      </c>
      <c r="W60" s="97">
        <f>Janvier!AI60+Fevrier!AG60+Mars!AG60+Avril!AG60+Mai!AG60+Juin!AG60+Juillet!AG60+Aout!AG60+Sept!AG60+Oct!AG60+Nov!AG60+Dec!AG60</f>
        <v>0</v>
      </c>
      <c r="X60" s="309">
        <f t="shared" si="0"/>
        <v>0.71515219342797942</v>
      </c>
      <c r="Y60" s="309">
        <f t="shared" si="1"/>
        <v>0.61023732010243514</v>
      </c>
      <c r="Z60" s="309">
        <f t="shared" si="2"/>
        <v>0.60714862795441127</v>
      </c>
      <c r="AA60" s="309">
        <f t="shared" si="3"/>
        <v>0.34161145272256377</v>
      </c>
      <c r="AB60" s="309">
        <f t="shared" si="4"/>
        <v>0.39447011147619448</v>
      </c>
      <c r="AC60" s="309">
        <f t="shared" si="5"/>
        <v>0.64068299984724209</v>
      </c>
      <c r="AD60" s="309">
        <f t="shared" si="6"/>
        <v>0.48194187310823122</v>
      </c>
      <c r="AE60" s="309">
        <f t="shared" si="7"/>
        <v>0.60607129213318056</v>
      </c>
      <c r="AF60" s="309">
        <f t="shared" si="8"/>
        <v>0.4955773017132446</v>
      </c>
      <c r="AG60" s="310">
        <f t="shared" si="9"/>
        <v>0.86984630756119785</v>
      </c>
    </row>
    <row r="61" spans="1:33" ht="15" thickBot="1" x14ac:dyDescent="0.35">
      <c r="A61" s="184" t="s">
        <v>27</v>
      </c>
      <c r="B61" s="212">
        <v>15098</v>
      </c>
      <c r="C61" s="273">
        <v>14856</v>
      </c>
      <c r="D61" s="95">
        <f>Janvier!F61+Fevrier!D61+Mars!D61+Avril!D61+Mai!D61+Juin!D61+Juillet!D61+Aout!D61+Sept!D61+Oct!D61+Nov!D61+Dec!D61</f>
        <v>14120</v>
      </c>
      <c r="E61" s="97">
        <f>+Janvier!H61+Fevrier!F61+Mars!F61+Avril!F61+Mai!F61+Juin!F61+Juillet!F61+Aout!F61+Sept!F61+Oct!F61+Nov!F61+Dec!F61</f>
        <v>0</v>
      </c>
      <c r="F61" s="95">
        <f>Janvier!I61+Fevrier!G61+Mars!G61+Avril!G61+Mai!G61+Juin!G61+Juillet!G61+Aout!G61+Sept!G61+Oct!G61+Nov!G61+Dec!G61</f>
        <v>33200</v>
      </c>
      <c r="G61" s="97">
        <f>+Janvier!K61+Fevrier!I61+Mars!I61+Avril!I61+Mai!I61+Juin!I61+Juillet!I61+Aout!I61+Sept!I61+Oct!I61+Nov!I61+Dec!I61</f>
        <v>0</v>
      </c>
      <c r="H61" s="95">
        <f>Janvier!L61+Fevrier!J61+Mars!J61+Avril!J61+Mai!J61+Juin!J61+Juillet!J61+Aout!J61+Sept!J61+Oct!J61+Nov!J61+Dec!J61</f>
        <v>25090</v>
      </c>
      <c r="I61" s="97">
        <f>Janvier!N61+Fevrier!L61+Mars!L61+Avril!L61+Mai!L61+Juin!L61+Juillet!L61+Aout!L61+Sept!L61+Oct!L61+Nov!L61+Dec!L61</f>
        <v>0</v>
      </c>
      <c r="J61" s="95">
        <f>Janvier!O61+Fevrier!M61+Mars!M61+Avril!M61+Mai!M61+Juin!M61+Juillet!M61+Aout!M61+Sept!M61+Oct!M61+Nov!M61+Dec!M61</f>
        <v>24328</v>
      </c>
      <c r="K61" s="97">
        <f>Janvier!Q61+Fevrier!O61+Mars!O61+Avril!O61+Mai!O61+Juin!O61+Juillet!O61+Aout!O61+Sept!O61+Oct!O61+Nov!O61+Dec!O61</f>
        <v>0</v>
      </c>
      <c r="L61" s="95">
        <f>Janvier!R61+Fevrier!P61+Mars!P61+Avril!P61+Mai!P61+Juin!P61+Juillet!P61+Aout!P61+Sept!P61+Oct!P61+Nov!P61+Dec!P61</f>
        <v>15500</v>
      </c>
      <c r="M61" s="97">
        <f>Janvier!T61+Fevrier!R61+Mars!R61+Avril!R61+Mai!R61+Juin!R61+Juillet!R61+Aout!R61+Sept!R61+Oct!R61+Nov!R61+Dec!R61</f>
        <v>0</v>
      </c>
      <c r="N61" s="95">
        <f>Janvier!U61+Fevrier!S61+Mars!S61+Avril!S61+Mai!S61+Juin!S61+Juillet!S61+Aout!S61+Sept!S61+Oct!S61+Nov!S61+Dec!S61</f>
        <v>8340</v>
      </c>
      <c r="O61" s="97">
        <f>Janvier!W61+Fevrier!U61+Mars!U61+Avril!U61+Mai!U61+Juin!U61+Juillet!U61+Aout!U61+Sept!U61+Oct!U61+Nov!U61+Dec!U61</f>
        <v>0</v>
      </c>
      <c r="P61" s="95">
        <f>Janvier!X61+Fevrier!V61+Mars!V61+Avril!V61+Mai!V61+Juin!V61+Juillet!V61+Aout!V61+Sept!V61+Oct!V61+Nov!V61+Dec!V61</f>
        <v>16020</v>
      </c>
      <c r="Q61" s="97">
        <f>Janvier!Z61+Fevrier!X61+Mars!X61+Avril!X61+Mai!X61+Juin!X61+Juillet!X61+Aout!X61+Sept!X61+Oct!X61+Nov!X61+Dec!X61</f>
        <v>0</v>
      </c>
      <c r="R61" s="95">
        <f>Janvier!AA61+Fevrier!Y61+Mars!Y61+Avril!Y61+Mai!Y61+Juin!Y61+Juillet!Y61+Aout!Y61+Sept!Y61+Oct!Y61+Nov!Y61+Dec!Y61</f>
        <v>9510</v>
      </c>
      <c r="S61" s="97">
        <f>Janvier!AC61+Fevrier!AA61+Mars!AA61+Avril!AA61+Mai!AA61+Juin!AA61+Juillet!AA61+Aout!AA61+Sept!AA61+Oct!AA61+Nov!AA61+Dec!AA61</f>
        <v>0</v>
      </c>
      <c r="T61" s="95">
        <f>Janvier!AD61+Fevrier!AB61+Mars!AB61+Avril!AB61+Mai!AB61+Juin!AB61+Juillet!AB61+Aout!AB61+Sept!AB61+Oct!AB61+Nov!AB61+Dec!AB61</f>
        <v>5960</v>
      </c>
      <c r="U61" s="97">
        <f>Janvier!AF61+Fevrier!AD61+Mars!AD61+Avril!AD61+Mai!AD61+Juin!AD61+Juillet!AD61+Aout!AD61+Sept!AD61+Oct!AD61+Nov!AD61+Dec!AD61</f>
        <v>47</v>
      </c>
      <c r="V61" s="95">
        <f>Janvier!AG61+Fevrier!AE61+Mars!AE61+Avril!AE61+Mai!AE61+Juin!AE61+Juillet!AE61+Aout!AE61+Sept!AE61+Oct!AE61+Nov!AE61+Dec!AE61</f>
        <v>14990</v>
      </c>
      <c r="W61" s="97">
        <f>Janvier!AI61+Fevrier!AG61+Mars!AG61+Avril!AG61+Mai!AG61+Juin!AG61+Juillet!AG61+Aout!AG61+Sept!AG61+Oct!AG61+Nov!AG61+Dec!AG61</f>
        <v>0</v>
      </c>
      <c r="X61" s="309">
        <f t="shared" si="0"/>
        <v>0.7317865480218857</v>
      </c>
      <c r="Y61" s="309">
        <f t="shared" si="1"/>
        <v>0.55925607891143703</v>
      </c>
      <c r="Z61" s="309">
        <f t="shared" si="2"/>
        <v>0.56352349477461661</v>
      </c>
      <c r="AA61" s="309">
        <f t="shared" si="3"/>
        <v>0.34411809595411474</v>
      </c>
      <c r="AB61" s="309">
        <f t="shared" si="4"/>
        <v>0.34813129410149696</v>
      </c>
      <c r="AC61" s="309">
        <f t="shared" si="5"/>
        <v>0.56195128893028734</v>
      </c>
      <c r="AD61" s="309">
        <f t="shared" si="6"/>
        <v>0.47926763597199784</v>
      </c>
      <c r="AE61" s="309">
        <f t="shared" si="7"/>
        <v>0.56901812959971276</v>
      </c>
      <c r="AF61" s="309">
        <f t="shared" si="8"/>
        <v>0.35660862801412074</v>
      </c>
      <c r="AG61" s="310">
        <f t="shared" si="9"/>
        <v>0.89690659965296471</v>
      </c>
    </row>
    <row r="62" spans="1:33" ht="15" thickBot="1" x14ac:dyDescent="0.35">
      <c r="A62" s="184" t="s">
        <v>28</v>
      </c>
      <c r="B62" s="212">
        <v>29152</v>
      </c>
      <c r="C62" s="273">
        <v>28685</v>
      </c>
      <c r="D62" s="95">
        <f>Janvier!F62+Fevrier!D62+Mars!D62+Avril!D62+Mai!D62+Juin!D62+Juillet!D62+Aout!D62+Sept!D62+Oct!D62+Nov!D62+Dec!D62</f>
        <v>26860</v>
      </c>
      <c r="E62" s="97">
        <f>+Janvier!H62+Fevrier!F62+Mars!F62+Avril!F62+Mai!F62+Juin!F62+Juillet!F62+Aout!F62+Sept!F62+Oct!F62+Nov!F62+Dec!F62</f>
        <v>0</v>
      </c>
      <c r="F62" s="95">
        <f>Janvier!I62+Fevrier!G62+Mars!G62+Avril!G62+Mai!G62+Juin!G62+Juillet!G62+Aout!G62+Sept!G62+Oct!G62+Nov!G62+Dec!G62</f>
        <v>72200</v>
      </c>
      <c r="G62" s="97">
        <f>+Janvier!K62+Fevrier!I62+Mars!I62+Avril!I62+Mai!I62+Juin!I62+Juillet!I62+Aout!I62+Sept!I62+Oct!I62+Nov!I62+Dec!I62</f>
        <v>0</v>
      </c>
      <c r="H62" s="95">
        <f>Janvier!L62+Fevrier!J62+Mars!J62+Avril!J62+Mai!J62+Juin!J62+Juillet!J62+Aout!J62+Sept!J62+Oct!J62+Nov!J62+Dec!J62</f>
        <v>55810</v>
      </c>
      <c r="I62" s="97">
        <f>Janvier!N62+Fevrier!L62+Mars!L62+Avril!L62+Mai!L62+Juin!L62+Juillet!L62+Aout!L62+Sept!L62+Oct!L62+Nov!L62+Dec!L62</f>
        <v>0</v>
      </c>
      <c r="J62" s="95">
        <f>Janvier!O62+Fevrier!M62+Mars!M62+Avril!M62+Mai!M62+Juin!M62+Juillet!M62+Aout!M62+Sept!M62+Oct!M62+Nov!M62+Dec!M62</f>
        <v>51376</v>
      </c>
      <c r="K62" s="97">
        <f>Janvier!Q62+Fevrier!O62+Mars!O62+Avril!O62+Mai!O62+Juin!O62+Juillet!O62+Aout!O62+Sept!O62+Oct!O62+Nov!O62+Dec!O62</f>
        <v>0</v>
      </c>
      <c r="L62" s="95">
        <f>Janvier!R62+Fevrier!P62+Mars!P62+Avril!P62+Mai!P62+Juin!P62+Juillet!P62+Aout!P62+Sept!P62+Oct!P62+Nov!P62+Dec!P62</f>
        <v>35300</v>
      </c>
      <c r="M62" s="97">
        <f>Janvier!T62+Fevrier!R62+Mars!R62+Avril!R62+Mai!R62+Juin!R62+Juillet!R62+Aout!R62+Sept!R62+Oct!R62+Nov!R62+Dec!R62</f>
        <v>0</v>
      </c>
      <c r="N62" s="95">
        <f>Janvier!U62+Fevrier!S62+Mars!S62+Avril!S62+Mai!S62+Juin!S62+Juillet!S62+Aout!S62+Sept!S62+Oct!S62+Nov!S62+Dec!S62</f>
        <v>18175</v>
      </c>
      <c r="O62" s="97">
        <f>Janvier!W62+Fevrier!U62+Mars!U62+Avril!U62+Mai!U62+Juin!U62+Juillet!U62+Aout!U62+Sept!U62+Oct!U62+Nov!U62+Dec!U62</f>
        <v>0</v>
      </c>
      <c r="P62" s="95">
        <f>Janvier!X62+Fevrier!V62+Mars!V62+Avril!V62+Mai!V62+Juin!V62+Juillet!V62+Aout!V62+Sept!V62+Oct!V62+Nov!V62+Dec!V62</f>
        <v>31470</v>
      </c>
      <c r="Q62" s="97">
        <f>Janvier!Z62+Fevrier!X62+Mars!X62+Avril!X62+Mai!X62+Juin!X62+Juillet!X62+Aout!X62+Sept!X62+Oct!X62+Nov!X62+Dec!X62</f>
        <v>0</v>
      </c>
      <c r="R62" s="95">
        <f>Janvier!AA62+Fevrier!Y62+Mars!Y62+Avril!Y62+Mai!Y62+Juin!Y62+Juillet!Y62+Aout!Y62+Sept!Y62+Oct!Y62+Nov!Y62+Dec!Y62</f>
        <v>22130</v>
      </c>
      <c r="S62" s="97">
        <f>Janvier!AC62+Fevrier!AA62+Mars!AA62+Avril!AA62+Mai!AA62+Juin!AA62+Juillet!AA62+Aout!AA62+Sept!AA62+Oct!AA62+Nov!AA62+Dec!AA62</f>
        <v>0</v>
      </c>
      <c r="T62" s="95">
        <f>Janvier!AD62+Fevrier!AB62+Mars!AB62+Avril!AB62+Mai!AB62+Juin!AB62+Juillet!AB62+Aout!AB62+Sept!AB62+Oct!AB62+Nov!AB62+Dec!AB62</f>
        <v>14550</v>
      </c>
      <c r="U62" s="97">
        <f>Janvier!AF62+Fevrier!AD62+Mars!AD62+Avril!AD62+Mai!AD62+Juin!AD62+Juillet!AD62+Aout!AD62+Sept!AD62+Oct!AD62+Nov!AD62+Dec!AD62</f>
        <v>87</v>
      </c>
      <c r="V62" s="95">
        <f>Janvier!AG62+Fevrier!AE62+Mars!AE62+Avril!AE62+Mai!AE62+Juin!AE62+Juillet!AE62+Aout!AE62+Sept!AE62+Oct!AE62+Nov!AE62+Dec!AE62</f>
        <v>25100</v>
      </c>
      <c r="W62" s="97">
        <f>Janvier!AI62+Fevrier!AG62+Mars!AG62+Avril!AG62+Mai!AG62+Juin!AG62+Juillet!AG62+Aout!AG62+Sept!AG62+Oct!AG62+Nov!AG62+Dec!AG62</f>
        <v>0</v>
      </c>
      <c r="X62" s="309">
        <f t="shared" si="0"/>
        <v>0.72095274415121058</v>
      </c>
      <c r="Y62" s="309">
        <f t="shared" si="1"/>
        <v>0.62987861488820174</v>
      </c>
      <c r="Z62" s="309">
        <f t="shared" si="2"/>
        <v>0.64918791314700897</v>
      </c>
      <c r="AA62" s="309">
        <f t="shared" si="3"/>
        <v>0.36246409390808842</v>
      </c>
      <c r="AB62" s="309">
        <f t="shared" si="4"/>
        <v>0.41061339068427555</v>
      </c>
      <c r="AC62" s="309">
        <f t="shared" si="5"/>
        <v>0.6342406551575106</v>
      </c>
      <c r="AD62" s="309">
        <f t="shared" si="6"/>
        <v>0.48759514264133402</v>
      </c>
      <c r="AE62" s="309">
        <f t="shared" si="7"/>
        <v>0.68576298103925781</v>
      </c>
      <c r="AF62" s="309">
        <f t="shared" si="8"/>
        <v>0.45087444076462729</v>
      </c>
      <c r="AG62" s="310">
        <f t="shared" si="9"/>
        <v>0.77779714523657351</v>
      </c>
    </row>
    <row r="63" spans="1:33" ht="15" thickBot="1" x14ac:dyDescent="0.35">
      <c r="A63" s="184" t="s">
        <v>29</v>
      </c>
      <c r="B63" s="212">
        <v>20497</v>
      </c>
      <c r="C63" s="273">
        <v>20169</v>
      </c>
      <c r="D63" s="95">
        <f>Janvier!F63+Fevrier!D63+Mars!D63+Avril!D63+Mai!D63+Juin!D63+Juillet!D63+Aout!D63+Sept!D63+Oct!D63+Nov!D63+Dec!D63</f>
        <v>16740</v>
      </c>
      <c r="E63" s="97">
        <f>+Janvier!H63+Fevrier!F63+Mars!F63+Avril!F63+Mai!F63+Juin!F63+Juillet!F63+Aout!F63+Sept!F63+Oct!F63+Nov!F63+Dec!F63</f>
        <v>0</v>
      </c>
      <c r="F63" s="95">
        <f>Janvier!I63+Fevrier!G63+Mars!G63+Avril!G63+Mai!G63+Juin!G63+Juillet!G63+Aout!G63+Sept!G63+Oct!G63+Nov!G63+Dec!G63</f>
        <v>39820</v>
      </c>
      <c r="G63" s="97">
        <f>+Janvier!K63+Fevrier!I63+Mars!I63+Avril!I63+Mai!I63+Juin!I63+Juillet!I63+Aout!I63+Sept!I63+Oct!I63+Nov!I63+Dec!I63</f>
        <v>0</v>
      </c>
      <c r="H63" s="95">
        <f>Janvier!L63+Fevrier!J63+Mars!J63+Avril!J63+Mai!J63+Juin!J63+Juillet!J63+Aout!J63+Sept!J63+Oct!J63+Nov!J63+Dec!J63</f>
        <v>32430</v>
      </c>
      <c r="I63" s="97">
        <f>Janvier!N63+Fevrier!L63+Mars!L63+Avril!L63+Mai!L63+Juin!L63+Juillet!L63+Aout!L63+Sept!L63+Oct!L63+Nov!L63+Dec!L63</f>
        <v>0</v>
      </c>
      <c r="J63" s="95">
        <f>Janvier!O63+Fevrier!M63+Mars!M63+Avril!M63+Mai!M63+Juin!M63+Juillet!M63+Aout!M63+Sept!M63+Oct!M63+Nov!M63+Dec!M63</f>
        <v>31480</v>
      </c>
      <c r="K63" s="97">
        <f>Janvier!Q63+Fevrier!O63+Mars!O63+Avril!O63+Mai!O63+Juin!O63+Juillet!O63+Aout!O63+Sept!O63+Oct!O63+Nov!O63+Dec!O63</f>
        <v>0</v>
      </c>
      <c r="L63" s="95">
        <f>Janvier!R63+Fevrier!P63+Mars!P63+Avril!P63+Mai!P63+Juin!P63+Juillet!P63+Aout!P63+Sept!P63+Oct!P63+Nov!P63+Dec!P63</f>
        <v>20350</v>
      </c>
      <c r="M63" s="97">
        <f>Janvier!T63+Fevrier!R63+Mars!R63+Avril!R63+Mai!R63+Juin!R63+Juillet!R63+Aout!R63+Sept!R63+Oct!R63+Nov!R63+Dec!R63</f>
        <v>0</v>
      </c>
      <c r="N63" s="95">
        <f>Janvier!U63+Fevrier!S63+Mars!S63+Avril!S63+Mai!S63+Juin!S63+Juillet!S63+Aout!S63+Sept!S63+Oct!S63+Nov!S63+Dec!S63</f>
        <v>11510</v>
      </c>
      <c r="O63" s="97">
        <f>Janvier!W63+Fevrier!U63+Mars!U63+Avril!U63+Mai!U63+Juin!U63+Juillet!U63+Aout!U63+Sept!U63+Oct!U63+Nov!U63+Dec!U63</f>
        <v>0</v>
      </c>
      <c r="P63" s="95">
        <f>Janvier!X63+Fevrier!V63+Mars!V63+Avril!V63+Mai!V63+Juin!V63+Juillet!V63+Aout!V63+Sept!V63+Oct!V63+Nov!V63+Dec!V63</f>
        <v>19870</v>
      </c>
      <c r="Q63" s="97">
        <f>Janvier!Z63+Fevrier!X63+Mars!X63+Avril!X63+Mai!X63+Juin!X63+Juillet!X63+Aout!X63+Sept!X63+Oct!X63+Nov!X63+Dec!X63</f>
        <v>0</v>
      </c>
      <c r="R63" s="95">
        <f>Janvier!AA63+Fevrier!Y63+Mars!Y63+Avril!Y63+Mai!Y63+Juin!Y63+Juillet!Y63+Aout!Y63+Sept!Y63+Oct!Y63+Nov!Y63+Dec!Y63</f>
        <v>13090</v>
      </c>
      <c r="S63" s="97">
        <f>Janvier!AC63+Fevrier!AA63+Mars!AA63+Avril!AA63+Mai!AA63+Juin!AA63+Juillet!AA63+Aout!AA63+Sept!AA63+Oct!AA63+Nov!AA63+Dec!AA63</f>
        <v>0</v>
      </c>
      <c r="T63" s="95">
        <f>Janvier!AD63+Fevrier!AB63+Mars!AB63+Avril!AB63+Mai!AB63+Juin!AB63+Juillet!AB63+Aout!AB63+Sept!AB63+Oct!AB63+Nov!AB63+Dec!AB63</f>
        <v>10680</v>
      </c>
      <c r="U63" s="97">
        <f>Janvier!AF63+Fevrier!AD63+Mars!AD63+Avril!AD63+Mai!AD63+Juin!AD63+Juillet!AD63+Aout!AD63+Sept!AD63+Oct!AD63+Nov!AD63+Dec!AD63</f>
        <v>46</v>
      </c>
      <c r="V63" s="95">
        <f>Janvier!AG63+Fevrier!AE63+Mars!AE63+Avril!AE63+Mai!AE63+Juin!AE63+Juillet!AE63+Aout!AE63+Sept!AE63+Oct!AE63+Nov!AE63+Dec!AE63</f>
        <v>18830</v>
      </c>
      <c r="W63" s="97">
        <f>Janvier!AI63+Fevrier!AG63+Mars!AG63+Avril!AG63+Mai!AG63+Juin!AG63+Juillet!AG63+Aout!AG63+Sept!AG63+Oct!AG63+Nov!AG63+Dec!AG63</f>
        <v>0</v>
      </c>
      <c r="X63" s="309">
        <f t="shared" si="0"/>
        <v>0.63904920472731497</v>
      </c>
      <c r="Y63" s="309">
        <f t="shared" si="1"/>
        <v>0.4940733286213973</v>
      </c>
      <c r="Z63" s="309">
        <f t="shared" si="2"/>
        <v>0.53650755222474189</v>
      </c>
      <c r="AA63" s="309">
        <f t="shared" si="3"/>
        <v>0.34373636660803109</v>
      </c>
      <c r="AB63" s="309">
        <f t="shared" si="4"/>
        <v>0.33666138414349361</v>
      </c>
      <c r="AC63" s="309">
        <f t="shared" si="5"/>
        <v>0.57124902184151516</v>
      </c>
      <c r="AD63" s="309">
        <f t="shared" si="6"/>
        <v>0.43785567510095241</v>
      </c>
      <c r="AE63" s="309">
        <f t="shared" si="7"/>
        <v>0.57690294786829066</v>
      </c>
      <c r="AF63" s="309">
        <f t="shared" si="8"/>
        <v>0.47068934172905608</v>
      </c>
      <c r="AG63" s="310">
        <f t="shared" si="9"/>
        <v>0.82987643302978709</v>
      </c>
    </row>
    <row r="64" spans="1:33" ht="15" thickBot="1" x14ac:dyDescent="0.35">
      <c r="A64" s="184" t="s">
        <v>30</v>
      </c>
      <c r="B64" s="212">
        <v>11001</v>
      </c>
      <c r="C64" s="273">
        <v>10824</v>
      </c>
      <c r="D64" s="95">
        <f>Janvier!F64+Fevrier!D64+Mars!D64+Avril!D64+Mai!D64+Juin!D64+Juillet!D64+Aout!D64+Sept!D64+Oct!D64+Nov!D64+Dec!D64</f>
        <v>8740</v>
      </c>
      <c r="E64" s="97">
        <f>+Janvier!H64+Fevrier!F64+Mars!F64+Avril!F64+Mai!F64+Juin!F64+Juillet!F64+Aout!F64+Sept!F64+Oct!F64+Nov!F64+Dec!F64</f>
        <v>0</v>
      </c>
      <c r="F64" s="95">
        <f>Janvier!I64+Fevrier!G64+Mars!G64+Avril!G64+Mai!G64+Juin!G64+Juillet!G64+Aout!G64+Sept!G64+Oct!G64+Nov!G64+Dec!G64</f>
        <v>22360</v>
      </c>
      <c r="G64" s="97">
        <f>+Janvier!K64+Fevrier!I64+Mars!I64+Avril!I64+Mai!I64+Juin!I64+Juillet!I64+Aout!I64+Sept!I64+Oct!I64+Nov!I64+Dec!I64</f>
        <v>0</v>
      </c>
      <c r="H64" s="95">
        <f>Janvier!L64+Fevrier!J64+Mars!J64+Avril!J64+Mai!J64+Juin!J64+Juillet!J64+Aout!J64+Sept!J64+Oct!J64+Nov!J64+Dec!J64</f>
        <v>17700</v>
      </c>
      <c r="I64" s="97">
        <f>Janvier!N64+Fevrier!L64+Mars!L64+Avril!L64+Mai!L64+Juin!L64+Juillet!L64+Aout!L64+Sept!L64+Oct!L64+Nov!L64+Dec!L64</f>
        <v>0</v>
      </c>
      <c r="J64" s="95">
        <f>Janvier!O64+Fevrier!M64+Mars!M64+Avril!M64+Mai!M64+Juin!M64+Juillet!M64+Aout!M64+Sept!M64+Oct!M64+Nov!M64+Dec!M64</f>
        <v>17256</v>
      </c>
      <c r="K64" s="97">
        <f>Janvier!Q64+Fevrier!O64+Mars!O64+Avril!O64+Mai!O64+Juin!O64+Juillet!O64+Aout!O64+Sept!O64+Oct!O64+Nov!O64+Dec!O64</f>
        <v>0</v>
      </c>
      <c r="L64" s="95">
        <f>Janvier!R64+Fevrier!P64+Mars!P64+Avril!P64+Mai!P64+Juin!P64+Juillet!P64+Aout!P64+Sept!P64+Oct!P64+Nov!P64+Dec!P64</f>
        <v>12000</v>
      </c>
      <c r="M64" s="97">
        <f>Janvier!T64+Fevrier!R64+Mars!R64+Avril!R64+Mai!R64+Juin!R64+Juillet!R64+Aout!R64+Sept!R64+Oct!R64+Nov!R64+Dec!R64</f>
        <v>0</v>
      </c>
      <c r="N64" s="95">
        <f>Janvier!U64+Fevrier!S64+Mars!S64+Avril!S64+Mai!S64+Juin!S64+Juillet!S64+Aout!S64+Sept!S64+Oct!S64+Nov!S64+Dec!S64</f>
        <v>5720</v>
      </c>
      <c r="O64" s="97">
        <f>Janvier!W64+Fevrier!U64+Mars!U64+Avril!U64+Mai!U64+Juin!U64+Juillet!U64+Aout!U64+Sept!U64+Oct!U64+Nov!U64+Dec!U64</f>
        <v>0</v>
      </c>
      <c r="P64" s="95">
        <f>Janvier!X64+Fevrier!V64+Mars!V64+Avril!V64+Mai!V64+Juin!V64+Juillet!V64+Aout!V64+Sept!V64+Oct!V64+Nov!V64+Dec!V64</f>
        <v>8600</v>
      </c>
      <c r="Q64" s="97">
        <f>Janvier!Z64+Fevrier!X64+Mars!X64+Avril!X64+Mai!X64+Juin!X64+Juillet!X64+Aout!X64+Sept!X64+Oct!X64+Nov!X64+Dec!X64</f>
        <v>0</v>
      </c>
      <c r="R64" s="95">
        <f>Janvier!AA64+Fevrier!Y64+Mars!Y64+Avril!Y64+Mai!Y64+Juin!Y64+Juillet!Y64+Aout!Y64+Sept!Y64+Oct!Y64+Nov!Y64+Dec!Y64</f>
        <v>6600</v>
      </c>
      <c r="S64" s="97">
        <f>Janvier!AC64+Fevrier!AA64+Mars!AA64+Avril!AA64+Mai!AA64+Juin!AA64+Juillet!AA64+Aout!AA64+Sept!AA64+Oct!AA64+Nov!AA64+Dec!AA64</f>
        <v>0</v>
      </c>
      <c r="T64" s="95">
        <f>Janvier!AD64+Fevrier!AB64+Mars!AB64+Avril!AB64+Mai!AB64+Juin!AB64+Juillet!AB64+Aout!AB64+Sept!AB64+Oct!AB64+Nov!AB64+Dec!AB64</f>
        <v>6140</v>
      </c>
      <c r="U64" s="97">
        <f>Janvier!AF64+Fevrier!AD64+Mars!AD64+Avril!AD64+Mai!AD64+Juin!AD64+Juillet!AD64+Aout!AD64+Sept!AD64+Oct!AD64+Nov!AD64+Dec!AD64</f>
        <v>52</v>
      </c>
      <c r="V64" s="95">
        <f>Janvier!AG64+Fevrier!AE64+Mars!AE64+Avril!AE64+Mai!AE64+Juin!AE64+Juillet!AE64+Aout!AE64+Sept!AE64+Oct!AE64+Nov!AE64+Dec!AE64</f>
        <v>8670</v>
      </c>
      <c r="W64" s="97">
        <f>Janvier!AI64+Fevrier!AG64+Mars!AG64+Avril!AG64+Mai!AG64+Juin!AG64+Juillet!AG64+Aout!AG64+Sept!AG64+Oct!AG64+Nov!AG64+Dec!AG64</f>
        <v>0</v>
      </c>
      <c r="X64" s="309">
        <f t="shared" si="0"/>
        <v>0.62165354437119746</v>
      </c>
      <c r="Y64" s="309">
        <f t="shared" si="1"/>
        <v>0.5169618990757201</v>
      </c>
      <c r="Z64" s="309">
        <f t="shared" si="2"/>
        <v>0.54563062693143982</v>
      </c>
      <c r="AA64" s="309">
        <f t="shared" si="3"/>
        <v>0.34225231258147343</v>
      </c>
      <c r="AB64" s="309">
        <f t="shared" si="4"/>
        <v>0.36991906910606093</v>
      </c>
      <c r="AC64" s="309">
        <f t="shared" si="5"/>
        <v>0.52898426882166716</v>
      </c>
      <c r="AD64" s="309">
        <f t="shared" si="6"/>
        <v>0.3531247433686458</v>
      </c>
      <c r="AE64" s="309">
        <f t="shared" si="7"/>
        <v>0.54200542005420049</v>
      </c>
      <c r="AF64" s="309">
        <f t="shared" si="8"/>
        <v>0.50422928471708961</v>
      </c>
      <c r="AG64" s="310">
        <f t="shared" si="9"/>
        <v>0.7119980290711998</v>
      </c>
    </row>
    <row r="65" spans="1:33" ht="15" thickBot="1" x14ac:dyDescent="0.35">
      <c r="A65" s="184" t="s">
        <v>31</v>
      </c>
      <c r="B65" s="212">
        <v>21059</v>
      </c>
      <c r="C65" s="273">
        <v>20722</v>
      </c>
      <c r="D65" s="95">
        <f>Janvier!F65+Fevrier!D65+Mars!D65+Avril!D65+Mai!D65+Juin!D65+Juillet!D65+Aout!D65+Sept!D65+Oct!D65+Nov!D65+Dec!D65</f>
        <v>15680</v>
      </c>
      <c r="E65" s="97">
        <f>+Janvier!H65+Fevrier!F65+Mars!F65+Avril!F65+Mai!F65+Juin!F65+Juillet!F65+Aout!F65+Sept!F65+Oct!F65+Nov!F65+Dec!F65</f>
        <v>0</v>
      </c>
      <c r="F65" s="95">
        <f>Janvier!I65+Fevrier!G65+Mars!G65+Avril!G65+Mai!G65+Juin!G65+Juillet!G65+Aout!G65+Sept!G65+Oct!G65+Nov!G65+Dec!G65</f>
        <v>44040</v>
      </c>
      <c r="G65" s="97">
        <f>+Janvier!K65+Fevrier!I65+Mars!I65+Avril!I65+Mai!I65+Juin!I65+Juillet!I65+Aout!I65+Sept!I65+Oct!I65+Nov!I65+Dec!I65</f>
        <v>0</v>
      </c>
      <c r="H65" s="95">
        <f>Janvier!L65+Fevrier!J65+Mars!J65+Avril!J65+Mai!J65+Juin!J65+Juillet!J65+Aout!J65+Sept!J65+Oct!J65+Nov!J65+Dec!J65</f>
        <v>38080</v>
      </c>
      <c r="I65" s="97">
        <f>Janvier!N65+Fevrier!L65+Mars!L65+Avril!L65+Mai!L65+Juin!L65+Juillet!L65+Aout!L65+Sept!L65+Oct!L65+Nov!L65+Dec!L65</f>
        <v>0</v>
      </c>
      <c r="J65" s="95">
        <f>Janvier!O65+Fevrier!M65+Mars!M65+Avril!M65+Mai!M65+Juin!M65+Juillet!M65+Aout!M65+Sept!M65+Oct!M65+Nov!M65+Dec!M65</f>
        <v>38300</v>
      </c>
      <c r="K65" s="97">
        <f>Janvier!Q65+Fevrier!O65+Mars!O65+Avril!O65+Mai!O65+Juin!O65+Juillet!O65+Aout!O65+Sept!O65+Oct!O65+Nov!O65+Dec!O65</f>
        <v>0</v>
      </c>
      <c r="L65" s="95">
        <f>Janvier!R65+Fevrier!P65+Mars!P65+Avril!P65+Mai!P65+Juin!P65+Juillet!P65+Aout!P65+Sept!P65+Oct!P65+Nov!P65+Dec!P65</f>
        <v>22150</v>
      </c>
      <c r="M65" s="97">
        <f>Janvier!T65+Fevrier!R65+Mars!R65+Avril!R65+Mai!R65+Juin!R65+Juillet!R65+Aout!R65+Sept!R65+Oct!R65+Nov!R65+Dec!R65</f>
        <v>0</v>
      </c>
      <c r="N65" s="95">
        <f>Janvier!U65+Fevrier!S65+Mars!S65+Avril!S65+Mai!S65+Juin!S65+Juillet!S65+Aout!S65+Sept!S65+Oct!S65+Nov!S65+Dec!S65</f>
        <v>12500</v>
      </c>
      <c r="O65" s="97">
        <f>Janvier!W65+Fevrier!U65+Mars!U65+Avril!U65+Mai!U65+Juin!U65+Juillet!U65+Aout!U65+Sept!U65+Oct!U65+Nov!U65+Dec!U65</f>
        <v>0</v>
      </c>
      <c r="P65" s="95">
        <f>Janvier!X65+Fevrier!V65+Mars!V65+Avril!V65+Mai!V65+Juin!V65+Juillet!V65+Aout!V65+Sept!V65+Oct!V65+Nov!V65+Dec!V65</f>
        <v>23730</v>
      </c>
      <c r="Q65" s="97">
        <f>Janvier!Z65+Fevrier!X65+Mars!X65+Avril!X65+Mai!X65+Juin!X65+Juillet!X65+Aout!X65+Sept!X65+Oct!X65+Nov!X65+Dec!X65</f>
        <v>0</v>
      </c>
      <c r="R65" s="95">
        <f>Janvier!AA65+Fevrier!Y65+Mars!Y65+Avril!Y65+Mai!Y65+Juin!Y65+Juillet!Y65+Aout!Y65+Sept!Y65+Oct!Y65+Nov!Y65+Dec!Y65</f>
        <v>16180</v>
      </c>
      <c r="S65" s="97">
        <f>Janvier!AC65+Fevrier!AA65+Mars!AA65+Avril!AA65+Mai!AA65+Juin!AA65+Juillet!AA65+Aout!AA65+Sept!AA65+Oct!AA65+Nov!AA65+Dec!AA65</f>
        <v>0</v>
      </c>
      <c r="T65" s="95">
        <f>Janvier!AD65+Fevrier!AB65+Mars!AB65+Avril!AB65+Mai!AB65+Juin!AB65+Juillet!AB65+Aout!AB65+Sept!AB65+Oct!AB65+Nov!AB65+Dec!AB65</f>
        <v>12160</v>
      </c>
      <c r="U65" s="97">
        <f>Janvier!AF65+Fevrier!AD65+Mars!AD65+Avril!AD65+Mai!AD65+Juin!AD65+Juillet!AD65+Aout!AD65+Sept!AD65+Oct!AD65+Nov!AD65+Dec!AD65</f>
        <v>47</v>
      </c>
      <c r="V65" s="95">
        <f>Janvier!AG65+Fevrier!AE65+Mars!AE65+Avril!AE65+Mai!AE65+Juin!AE65+Juillet!AE65+Aout!AE65+Sept!AE65+Oct!AE65+Nov!AE65+Dec!AE65</f>
        <v>24400</v>
      </c>
      <c r="W65" s="97">
        <f>Janvier!AI65+Fevrier!AG65+Mars!AG65+Avril!AG65+Mai!AG65+Juin!AG65+Juillet!AG65+Aout!AG65+Sept!AG65+Oct!AG65+Nov!AG65+Dec!AG65</f>
        <v>0</v>
      </c>
      <c r="X65" s="309">
        <f t="shared" si="0"/>
        <v>0.58260936317155287</v>
      </c>
      <c r="Y65" s="309">
        <f t="shared" si="1"/>
        <v>0.53185122193905121</v>
      </c>
      <c r="Z65" s="309">
        <f t="shared" si="2"/>
        <v>0.61316665248074698</v>
      </c>
      <c r="AA65" s="309">
        <f t="shared" si="3"/>
        <v>0.33175037526647622</v>
      </c>
      <c r="AB65" s="309">
        <f t="shared" si="4"/>
        <v>0.35666074980169499</v>
      </c>
      <c r="AC65" s="309">
        <f t="shared" si="5"/>
        <v>0.60382745451754227</v>
      </c>
      <c r="AD65" s="309">
        <f t="shared" si="6"/>
        <v>0.50895988160730943</v>
      </c>
      <c r="AE65" s="309">
        <f t="shared" si="7"/>
        <v>0.69405570032922603</v>
      </c>
      <c r="AF65" s="309">
        <f t="shared" si="8"/>
        <v>0.52161417280614264</v>
      </c>
      <c r="AG65" s="310">
        <f t="shared" si="9"/>
        <v>1.0466600178017995</v>
      </c>
    </row>
    <row r="66" spans="1:33" ht="15" thickBot="1" x14ac:dyDescent="0.35">
      <c r="A66" s="184" t="s">
        <v>32</v>
      </c>
      <c r="B66" s="212">
        <v>14241</v>
      </c>
      <c r="C66" s="273">
        <v>14013</v>
      </c>
      <c r="D66" s="95">
        <f>Janvier!F66+Fevrier!D66+Mars!D66+Avril!D66+Mai!D66+Juin!D66+Juillet!D66+Aout!D66+Sept!D66+Oct!D66+Nov!D66+Dec!D66</f>
        <v>12780</v>
      </c>
      <c r="E66" s="97">
        <f>+Janvier!H66+Fevrier!F66+Mars!F66+Avril!F66+Mai!F66+Juin!F66+Juillet!F66+Aout!F66+Sept!F66+Oct!F66+Nov!F66+Dec!F66</f>
        <v>0</v>
      </c>
      <c r="F66" s="95">
        <f>Janvier!I66+Fevrier!G66+Mars!G66+Avril!G66+Mai!G66+Juin!G66+Juillet!G66+Aout!G66+Sept!G66+Oct!G66+Nov!G66+Dec!G66</f>
        <v>37560</v>
      </c>
      <c r="G66" s="97">
        <f>+Janvier!K66+Fevrier!I66+Mars!I66+Avril!I66+Mai!I66+Juin!I66+Juillet!I66+Aout!I66+Sept!I66+Oct!I66+Nov!I66+Dec!I66</f>
        <v>0</v>
      </c>
      <c r="H66" s="95">
        <f>Janvier!L66+Fevrier!J66+Mars!J66+Avril!J66+Mai!J66+Juin!J66+Juillet!J66+Aout!J66+Sept!J66+Oct!J66+Nov!J66+Dec!J66</f>
        <v>27940</v>
      </c>
      <c r="I66" s="97">
        <f>Janvier!N66+Fevrier!L66+Mars!L66+Avril!L66+Mai!L66+Juin!L66+Juillet!L66+Aout!L66+Sept!L66+Oct!L66+Nov!L66+Dec!L66</f>
        <v>0</v>
      </c>
      <c r="J66" s="95">
        <f>Janvier!O66+Fevrier!M66+Mars!M66+Avril!M66+Mai!M66+Juin!M66+Juillet!M66+Aout!M66+Sept!M66+Oct!M66+Nov!M66+Dec!M66</f>
        <v>26760</v>
      </c>
      <c r="K66" s="97">
        <f>Janvier!Q66+Fevrier!O66+Mars!O66+Avril!O66+Mai!O66+Juin!O66+Juillet!O66+Aout!O66+Sept!O66+Oct!O66+Nov!O66+Dec!O66</f>
        <v>0</v>
      </c>
      <c r="L66" s="95">
        <f>Janvier!R66+Fevrier!P66+Mars!P66+Avril!P66+Mai!P66+Juin!P66+Juillet!P66+Aout!P66+Sept!P66+Oct!P66+Nov!P66+Dec!P66</f>
        <v>17700</v>
      </c>
      <c r="M66" s="97">
        <f>Janvier!T66+Fevrier!R66+Mars!R66+Avril!R66+Mai!R66+Juin!R66+Juillet!R66+Aout!R66+Sept!R66+Oct!R66+Nov!R66+Dec!R66</f>
        <v>0</v>
      </c>
      <c r="N66" s="95">
        <f>Janvier!U66+Fevrier!S66+Mars!S66+Avril!S66+Mai!S66+Juin!S66+Juillet!S66+Aout!S66+Sept!S66+Oct!S66+Nov!S66+Dec!S66</f>
        <v>8525</v>
      </c>
      <c r="O66" s="97">
        <f>Janvier!W66+Fevrier!U66+Mars!U66+Avril!U66+Mai!U66+Juin!U66+Juillet!U66+Aout!U66+Sept!U66+Oct!U66+Nov!U66+Dec!U66</f>
        <v>0</v>
      </c>
      <c r="P66" s="95">
        <f>Janvier!X66+Fevrier!V66+Mars!V66+Avril!V66+Mai!V66+Juin!V66+Juillet!V66+Aout!V66+Sept!V66+Oct!V66+Nov!V66+Dec!V66</f>
        <v>15860</v>
      </c>
      <c r="Q66" s="97">
        <f>Janvier!Z66+Fevrier!X66+Mars!X66+Avril!X66+Mai!X66+Juin!X66+Juillet!X66+Aout!X66+Sept!X66+Oct!X66+Nov!X66+Dec!X66</f>
        <v>0</v>
      </c>
      <c r="R66" s="95">
        <f>Janvier!AA66+Fevrier!Y66+Mars!Y66+Avril!Y66+Mai!Y66+Juin!Y66+Juillet!Y66+Aout!Y66+Sept!Y66+Oct!Y66+Nov!Y66+Dec!Y66</f>
        <v>9310</v>
      </c>
      <c r="S66" s="97">
        <f>Janvier!AC66+Fevrier!AA66+Mars!AA66+Avril!AA66+Mai!AA66+Juin!AA66+Juillet!AA66+Aout!AA66+Sept!AA66+Oct!AA66+Nov!AA66+Dec!AA66</f>
        <v>0</v>
      </c>
      <c r="T66" s="95">
        <f>Janvier!AD66+Fevrier!AB66+Mars!AB66+Avril!AB66+Mai!AB66+Juin!AB66+Juillet!AB66+Aout!AB66+Sept!AB66+Oct!AB66+Nov!AB66+Dec!AB66</f>
        <v>8950</v>
      </c>
      <c r="U66" s="97">
        <f>Janvier!AF66+Fevrier!AD66+Mars!AD66+Avril!AD66+Mai!AD66+Juin!AD66+Juillet!AD66+Aout!AD66+Sept!AD66+Oct!AD66+Nov!AD66+Dec!AD66</f>
        <v>53</v>
      </c>
      <c r="V66" s="95">
        <f>Janvier!AG66+Fevrier!AE66+Mars!AE66+Avril!AE66+Mai!AE66+Juin!AE66+Juillet!AE66+Aout!AE66+Sept!AE66+Oct!AE66+Nov!AE66+Dec!AE66</f>
        <v>16370</v>
      </c>
      <c r="W66" s="97">
        <f>Janvier!AI66+Fevrier!AG66+Mars!AG66+Avril!AG66+Mai!AG66+Juin!AG66+Juillet!AG66+Aout!AG66+Sept!AG66+Oct!AG66+Nov!AG66+Dec!AG66</f>
        <v>0</v>
      </c>
      <c r="X66" s="309">
        <f t="shared" si="0"/>
        <v>0.7021978793624043</v>
      </c>
      <c r="Y66" s="309">
        <f t="shared" si="1"/>
        <v>0.67076282019548972</v>
      </c>
      <c r="Z66" s="309">
        <f t="shared" si="2"/>
        <v>0.66528623344912963</v>
      </c>
      <c r="AA66" s="309">
        <f t="shared" si="3"/>
        <v>0.34838026865929206</v>
      </c>
      <c r="AB66" s="309">
        <f t="shared" si="4"/>
        <v>0.42145906700249086</v>
      </c>
      <c r="AC66" s="309">
        <f t="shared" si="5"/>
        <v>0.60897263494851439</v>
      </c>
      <c r="AD66" s="309">
        <f t="shared" si="6"/>
        <v>0.50302496887810522</v>
      </c>
      <c r="AE66" s="309">
        <f t="shared" si="7"/>
        <v>0.59056273143192428</v>
      </c>
      <c r="AF66" s="309">
        <f t="shared" si="8"/>
        <v>0.56772679337440635</v>
      </c>
      <c r="AG66" s="310">
        <f t="shared" si="9"/>
        <v>1.0384008500043611</v>
      </c>
    </row>
    <row r="67" spans="1:33" ht="15" thickBot="1" x14ac:dyDescent="0.35">
      <c r="A67" s="184" t="s">
        <v>33</v>
      </c>
      <c r="B67" s="282">
        <v>11439</v>
      </c>
      <c r="C67" s="283">
        <v>11255</v>
      </c>
      <c r="D67" s="306">
        <f>Janvier!F67+Fevrier!D67+Mars!D67+Avril!D67+Mai!D67+Juin!D67+Juillet!D67+Aout!D67+Sept!D67+Oct!D67+Nov!D67+Dec!D67</f>
        <v>11600</v>
      </c>
      <c r="E67" s="261">
        <f>+Janvier!H67+Fevrier!F67+Mars!F67+Avril!F67+Mai!F67+Juin!F67+Juillet!F67+Aout!F67+Sept!F67+Oct!F67+Nov!F67+Dec!F67</f>
        <v>0</v>
      </c>
      <c r="F67" s="306">
        <f>Janvier!I67+Fevrier!G67+Mars!G67+Avril!G67+Mai!G67+Juin!G67+Juillet!G67+Aout!G67+Sept!G67+Oct!G67+Nov!G67+Dec!G67</f>
        <v>26180</v>
      </c>
      <c r="G67" s="261">
        <f>+Janvier!K67+Fevrier!I67+Mars!I67+Avril!I67+Mai!I67+Juin!I67+Juillet!I67+Aout!I67+Sept!I67+Oct!I67+Nov!I67+Dec!I67</f>
        <v>0</v>
      </c>
      <c r="H67" s="306">
        <f>Janvier!L67+Fevrier!J67+Mars!J67+Avril!J67+Mai!J67+Juin!J67+Juillet!J67+Aout!J67+Sept!J67+Oct!J67+Nov!J67+Dec!J67</f>
        <v>19180</v>
      </c>
      <c r="I67" s="261">
        <f>Janvier!N67+Fevrier!L67+Mars!L67+Avril!L67+Mai!L67+Juin!L67+Juillet!L67+Aout!L67+Sept!L67+Oct!L67+Nov!L67+Dec!L67</f>
        <v>0</v>
      </c>
      <c r="J67" s="306">
        <f>Janvier!O67+Fevrier!M67+Mars!M67+Avril!M67+Mai!M67+Juin!M67+Juillet!M67+Aout!M67+Sept!M67+Oct!M67+Nov!M67+Dec!M67</f>
        <v>16632</v>
      </c>
      <c r="K67" s="261">
        <f>Janvier!Q67+Fevrier!O67+Mars!O67+Avril!O67+Mai!O67+Juin!O67+Juillet!O67+Aout!O67+Sept!O67+Oct!O67+Nov!O67+Dec!O67</f>
        <v>0</v>
      </c>
      <c r="L67" s="306">
        <f>Janvier!R67+Fevrier!P67+Mars!P67+Avril!P67+Mai!P67+Juin!P67+Juillet!P67+Aout!P67+Sept!P67+Oct!P67+Nov!P67+Dec!P67</f>
        <v>11715</v>
      </c>
      <c r="M67" s="261">
        <f>Janvier!T67+Fevrier!R67+Mars!R67+Avril!R67+Mai!R67+Juin!R67+Juillet!R67+Aout!R67+Sept!R67+Oct!R67+Nov!R67+Dec!R67</f>
        <v>0</v>
      </c>
      <c r="N67" s="306">
        <f>Janvier!U67+Fevrier!S67+Mars!S67+Avril!S67+Mai!S67+Juin!S67+Juillet!S67+Aout!S67+Sept!S67+Oct!S67+Nov!S67+Dec!S67</f>
        <v>6260</v>
      </c>
      <c r="O67" s="261">
        <f>Janvier!W67+Fevrier!U67+Mars!U67+Avril!U67+Mai!U67+Juin!U67+Juillet!U67+Aout!U67+Sept!U67+Oct!U67+Nov!U67+Dec!U67</f>
        <v>0</v>
      </c>
      <c r="P67" s="306">
        <f>Janvier!X67+Fevrier!V67+Mars!V67+Avril!V67+Mai!V67+Juin!V67+Juillet!V67+Aout!V67+Sept!V67+Oct!V67+Nov!V67+Dec!V67</f>
        <v>11310</v>
      </c>
      <c r="Q67" s="261">
        <f>Janvier!Z67+Fevrier!X67+Mars!X67+Avril!X67+Mai!X67+Juin!X67+Juillet!X67+Aout!X67+Sept!X67+Oct!X67+Nov!X67+Dec!X67</f>
        <v>0</v>
      </c>
      <c r="R67" s="306">
        <f>Janvier!AA67+Fevrier!Y67+Mars!Y67+Avril!Y67+Mai!Y67+Juin!Y67+Juillet!Y67+Aout!Y67+Sept!Y67+Oct!Y67+Nov!Y67+Dec!Y67</f>
        <v>6610</v>
      </c>
      <c r="S67" s="261">
        <f>Janvier!AC67+Fevrier!AA67+Mars!AA67+Avril!AA67+Mai!AA67+Juin!AA67+Juillet!AA67+Aout!AA67+Sept!AA67+Oct!AA67+Nov!AA67+Dec!AA67</f>
        <v>0</v>
      </c>
      <c r="T67" s="306">
        <f>Janvier!AD67+Fevrier!AB67+Mars!AB67+Avril!AB67+Mai!AB67+Juin!AB67+Juillet!AB67+Aout!AB67+Sept!AB67+Oct!AB67+Nov!AB67+Dec!AB67</f>
        <v>6930</v>
      </c>
      <c r="U67" s="261">
        <f>Janvier!AF67+Fevrier!AD67+Mars!AD67+Avril!AD67+Mai!AD67+Juin!AD67+Juillet!AD67+Aout!AD67+Sept!AD67+Oct!AD67+Nov!AD67+Dec!AD67</f>
        <v>33</v>
      </c>
      <c r="V67" s="306">
        <f>Janvier!AG67+Fevrier!AE67+Mars!AE67+Avril!AE67+Mai!AE67+Juin!AE67+Juillet!AE67+Aout!AE67+Sept!AE67+Oct!AE67+Nov!AE67+Dec!AE67</f>
        <v>11050</v>
      </c>
      <c r="W67" s="261">
        <f>Janvier!AI67+Fevrier!AG67+Mars!AG67+Avril!AG67+Mai!AG67+Juin!AG67+Juillet!AG67+Aout!AG67+Sept!AG67+Oct!AG67+Nov!AG67+Dec!AG67</f>
        <v>0</v>
      </c>
      <c r="X67" s="309">
        <f t="shared" si="0"/>
        <v>0.79348564700751256</v>
      </c>
      <c r="Y67" s="309">
        <f t="shared" si="1"/>
        <v>0.58210142617072869</v>
      </c>
      <c r="Z67" s="309">
        <f t="shared" si="2"/>
        <v>0.56861244481561379</v>
      </c>
      <c r="AA67" s="309">
        <f t="shared" si="3"/>
        <v>0.38478433540161933</v>
      </c>
      <c r="AB67" s="309">
        <f t="shared" si="4"/>
        <v>0.34730421225312386</v>
      </c>
      <c r="AC67" s="309">
        <f t="shared" si="5"/>
        <v>0.55675399966826</v>
      </c>
      <c r="AD67" s="309">
        <f t="shared" si="6"/>
        <v>0.4466163186731823</v>
      </c>
      <c r="AE67" s="309">
        <f t="shared" si="7"/>
        <v>0.52203958734389655</v>
      </c>
      <c r="AF67" s="309">
        <f t="shared" si="8"/>
        <v>0.54731230564193689</v>
      </c>
      <c r="AG67" s="310">
        <f t="shared" si="9"/>
        <v>0.87269855372920679</v>
      </c>
    </row>
    <row r="68" spans="1:33" ht="15" thickBot="1" x14ac:dyDescent="0.35">
      <c r="A68" s="279" t="s">
        <v>86</v>
      </c>
      <c r="B68" s="296">
        <v>237360</v>
      </c>
      <c r="C68" s="297">
        <v>235159</v>
      </c>
      <c r="D68" s="303">
        <f>Janvier!F68+Fevrier!D68+Mars!D68+Avril!D68+Mai!D68+Juin!D68+Juillet!D68+Aout!D68+Sept!D68+Oct!D68+Nov!D68+Dec!D68</f>
        <v>289000</v>
      </c>
      <c r="E68" s="293">
        <f>+Janvier!H68+Fevrier!F68+Mars!F68+Avril!F68+Mai!F68+Juin!F68+Juillet!F68+Aout!F68+Sept!F68+Oct!F68+Nov!F68+Dec!F68</f>
        <v>22</v>
      </c>
      <c r="F68" s="303">
        <f>Janvier!I68+Fevrier!G68+Mars!G68+Avril!G68+Mai!G68+Juin!G68+Juillet!G68+Aout!G68+Sept!G68+Oct!G68+Nov!G68+Dec!G68</f>
        <v>642000</v>
      </c>
      <c r="G68" s="293">
        <f>+Janvier!K68+Fevrier!I68+Mars!I68+Avril!I68+Mai!I68+Juin!I68+Juillet!I68+Aout!I68+Sept!I68+Oct!I68+Nov!I68+Dec!I68</f>
        <v>0</v>
      </c>
      <c r="H68" s="303">
        <f>Janvier!L68+Fevrier!J68+Mars!J68+Avril!J68+Mai!J68+Juin!J68+Juillet!J68+Aout!J68+Sept!J68+Oct!J68+Nov!J68+Dec!J68</f>
        <v>527100</v>
      </c>
      <c r="I68" s="293">
        <f>Janvier!N68+Fevrier!L68+Mars!L68+Avril!L68+Mai!L68+Juin!L68+Juillet!L68+Aout!L68+Sept!L68+Oct!L68+Nov!L68+Dec!L68</f>
        <v>22</v>
      </c>
      <c r="J68" s="303">
        <f>Janvier!O68+Fevrier!M68+Mars!M68+Avril!M68+Mai!M68+Juin!M68+Juillet!M68+Aout!M68+Sept!M68+Oct!M68+Nov!M68+Dec!M68</f>
        <v>520150</v>
      </c>
      <c r="K68" s="293">
        <f>Janvier!Q68+Fevrier!O68+Mars!O68+Avril!O68+Mai!O68+Juin!O68+Juillet!O68+Aout!O68+Sept!O68+Oct!O68+Nov!O68+Dec!O68</f>
        <v>0</v>
      </c>
      <c r="L68" s="303">
        <f>Janvier!R68+Fevrier!P68+Mars!P68+Avril!P68+Mai!P68+Juin!P68+Juillet!P68+Aout!P68+Sept!P68+Oct!P68+Nov!P68+Dec!P68</f>
        <v>340400</v>
      </c>
      <c r="M68" s="293">
        <f>Janvier!T68+Fevrier!R68+Mars!R68+Avril!R68+Mai!R68+Juin!R68+Juillet!R68+Aout!R68+Sept!R68+Oct!R68+Nov!R68+Dec!R68</f>
        <v>0</v>
      </c>
      <c r="N68" s="303">
        <f>Janvier!U68+Fevrier!S68+Mars!S68+Avril!S68+Mai!S68+Juin!S68+Juillet!S68+Aout!S68+Sept!S68+Oct!S68+Nov!S68+Dec!S68</f>
        <v>167000</v>
      </c>
      <c r="O68" s="293">
        <f>Janvier!W68+Fevrier!U68+Mars!U68+Avril!U68+Mai!U68+Juin!U68+Juillet!U68+Aout!U68+Sept!U68+Oct!U68+Nov!U68+Dec!U68</f>
        <v>0</v>
      </c>
      <c r="P68" s="303">
        <f>Janvier!X68+Fevrier!V68+Mars!V68+Avril!V68+Mai!V68+Juin!V68+Juillet!V68+Aout!V68+Sept!V68+Oct!V68+Nov!V68+Dec!V68</f>
        <v>291500</v>
      </c>
      <c r="Q68" s="293">
        <f>Janvier!Z68+Fevrier!X68+Mars!X68+Avril!X68+Mai!X68+Juin!X68+Juillet!X68+Aout!X68+Sept!X68+Oct!X68+Nov!X68+Dec!X68</f>
        <v>0</v>
      </c>
      <c r="R68" s="303">
        <f>Janvier!AA68+Fevrier!Y68+Mars!Y68+Avril!Y68+Mai!Y68+Juin!Y68+Juillet!Y68+Aout!Y68+Sept!Y68+Oct!Y68+Nov!Y68+Dec!Y68</f>
        <v>175000</v>
      </c>
      <c r="S68" s="293">
        <f>Janvier!AC68+Fevrier!AA68+Mars!AA68+Avril!AA68+Mai!AA68+Juin!AA68+Juillet!AA68+Aout!AA68+Sept!AA68+Oct!AA68+Nov!AA68+Dec!AA68</f>
        <v>15</v>
      </c>
      <c r="T68" s="303">
        <f>Janvier!AD68+Fevrier!AB68+Mars!AB68+Avril!AB68+Mai!AB68+Juin!AB68+Juillet!AB68+Aout!AB68+Sept!AB68+Oct!AB68+Nov!AB68+Dec!AB68</f>
        <v>138200</v>
      </c>
      <c r="U68" s="293">
        <f>Janvier!AF68+Fevrier!AD68+Mars!AD68+Avril!AD68+Mai!AD68+Juin!AD68+Juillet!AD68+Aout!AD68+Sept!AD68+Oct!AD68+Nov!AD68+Dec!AD68</f>
        <v>20</v>
      </c>
      <c r="V68" s="303">
        <f>Janvier!AG68+Fevrier!AE68+Mars!AE68+Avril!AE68+Mai!AE68+Juin!AE68+Juillet!AE68+Aout!AE68+Sept!AE68+Oct!AE68+Nov!AE68+Dec!AE68</f>
        <v>346200</v>
      </c>
      <c r="W68" s="293">
        <f>Janvier!AI68+Fevrier!AG68+Mars!AG68+Avril!AG68+Mai!AG68+Juin!AG68+Juillet!AG68+Aout!AG68+Sept!AG68+Oct!AG68+Nov!AG68+Dec!AG68</f>
        <v>0</v>
      </c>
      <c r="X68" s="309">
        <f t="shared" si="0"/>
        <v>0.95270721810547232</v>
      </c>
      <c r="Y68" s="309">
        <f t="shared" si="1"/>
        <v>0.68320013548561043</v>
      </c>
      <c r="Z68" s="309">
        <f t="shared" si="2"/>
        <v>0.74790195517022884</v>
      </c>
      <c r="AA68" s="309">
        <f t="shared" si="3"/>
        <v>0.33812530207800801</v>
      </c>
      <c r="AB68" s="309">
        <f t="shared" si="4"/>
        <v>0.48299340834745946</v>
      </c>
      <c r="AC68" s="309">
        <f t="shared" si="5"/>
        <v>0.71086867679811172</v>
      </c>
      <c r="AD68" s="309">
        <f t="shared" si="6"/>
        <v>0.55092748121720014</v>
      </c>
      <c r="AE68" s="309">
        <f t="shared" si="7"/>
        <v>0.66149097230195553</v>
      </c>
      <c r="AF68" s="309">
        <f t="shared" si="8"/>
        <v>0.5223888706978872</v>
      </c>
      <c r="AG68" s="310">
        <f t="shared" si="9"/>
        <v>1.3086181406339257</v>
      </c>
    </row>
    <row r="69" spans="1:33" x14ac:dyDescent="0.3">
      <c r="A69" s="184" t="s">
        <v>63</v>
      </c>
      <c r="B69" s="277">
        <v>6468</v>
      </c>
      <c r="C69" s="278">
        <v>6408</v>
      </c>
      <c r="D69" s="262">
        <f>Janvier!F69+Fevrier!D69+Mars!D69+Avril!D69+Mai!D69+Juin!D69+Juillet!D69+Aout!D69+Sept!D69+Oct!D69+Nov!D69+Dec!D69</f>
        <v>9400</v>
      </c>
      <c r="E69" s="150">
        <f>+Janvier!H69+Fevrier!F69+Mars!F69+Avril!F69+Mai!F69+Juin!F69+Juillet!F69+Aout!F69+Sept!F69+Oct!F69+Nov!F69+Dec!F69</f>
        <v>0</v>
      </c>
      <c r="F69" s="262">
        <f>Janvier!I69+Fevrier!G69+Mars!G69+Avril!G69+Mai!G69+Juin!G69+Juillet!G69+Aout!G69+Sept!G69+Oct!G69+Nov!G69+Dec!G69</f>
        <v>19620</v>
      </c>
      <c r="G69" s="150">
        <f>+Janvier!K69+Fevrier!I69+Mars!I69+Avril!I69+Mai!I69+Juin!I69+Juillet!I69+Aout!I69+Sept!I69+Oct!I69+Nov!I69+Dec!I69</f>
        <v>0</v>
      </c>
      <c r="H69" s="262">
        <f>Janvier!L69+Fevrier!J69+Mars!J69+Avril!J69+Mai!J69+Juin!J69+Juillet!J69+Aout!J69+Sept!J69+Oct!J69+Nov!J69+Dec!J69</f>
        <v>16210</v>
      </c>
      <c r="I69" s="150">
        <f>Janvier!N69+Fevrier!L69+Mars!L69+Avril!L69+Mai!L69+Juin!L69+Juillet!L69+Aout!L69+Sept!L69+Oct!L69+Nov!L69+Dec!L69</f>
        <v>0</v>
      </c>
      <c r="J69" s="262">
        <f>Janvier!O69+Fevrier!M69+Mars!M69+Avril!M69+Mai!M69+Juin!M69+Juillet!M69+Aout!M69+Sept!M69+Oct!M69+Nov!M69+Dec!M69</f>
        <v>13908</v>
      </c>
      <c r="K69" s="150">
        <f>Janvier!Q69+Fevrier!O69+Mars!O69+Avril!O69+Mai!O69+Juin!O69+Juillet!O69+Aout!O69+Sept!O69+Oct!O69+Nov!O69+Dec!O69</f>
        <v>0</v>
      </c>
      <c r="L69" s="262">
        <f>Janvier!R69+Fevrier!P69+Mars!P69+Avril!P69+Mai!P69+Juin!P69+Juillet!P69+Aout!P69+Sept!P69+Oct!P69+Nov!P69+Dec!P69</f>
        <v>6150</v>
      </c>
      <c r="M69" s="150">
        <f>Janvier!T69+Fevrier!R69+Mars!R69+Avril!R69+Mai!R69+Juin!R69+Juillet!R69+Aout!R69+Sept!R69+Oct!R69+Nov!R69+Dec!R69</f>
        <v>0</v>
      </c>
      <c r="N69" s="262">
        <f>Janvier!U69+Fevrier!S69+Mars!S69+Avril!S69+Mai!S69+Juin!S69+Juillet!S69+Aout!S69+Sept!S69+Oct!S69+Nov!S69+Dec!S69</f>
        <v>8440</v>
      </c>
      <c r="O69" s="150">
        <f>Janvier!W69+Fevrier!U69+Mars!U69+Avril!U69+Mai!U69+Juin!U69+Juillet!U69+Aout!U69+Sept!U69+Oct!U69+Nov!U69+Dec!U69</f>
        <v>0</v>
      </c>
      <c r="P69" s="262">
        <f>Janvier!X69+Fevrier!V69+Mars!V69+Avril!V69+Mai!V69+Juin!V69+Juillet!V69+Aout!V69+Sept!V69+Oct!V69+Nov!V69+Dec!V69</f>
        <v>7490</v>
      </c>
      <c r="Q69" s="150">
        <f>Janvier!Z69+Fevrier!X69+Mars!X69+Avril!X69+Mai!X69+Juin!X69+Juillet!X69+Aout!X69+Sept!X69+Oct!X69+Nov!X69+Dec!X69</f>
        <v>0</v>
      </c>
      <c r="R69" s="262">
        <f>Janvier!AA69+Fevrier!Y69+Mars!Y69+Avril!Y69+Mai!Y69+Juin!Y69+Juillet!Y69+Aout!Y69+Sept!Y69+Oct!Y69+Nov!Y69+Dec!Y69</f>
        <v>4570</v>
      </c>
      <c r="S69" s="150">
        <f>Janvier!AC69+Fevrier!AA69+Mars!AA69+Avril!AA69+Mai!AA69+Juin!AA69+Juillet!AA69+Aout!AA69+Sept!AA69+Oct!AA69+Nov!AA69+Dec!AA69</f>
        <v>0</v>
      </c>
      <c r="T69" s="262">
        <f>Janvier!AD69+Fevrier!AB69+Mars!AB69+Avril!AB69+Mai!AB69+Juin!AB69+Juillet!AB69+Aout!AB69+Sept!AB69+Oct!AB69+Nov!AB69+Dec!AB69</f>
        <v>4941</v>
      </c>
      <c r="U69" s="150">
        <f>Janvier!AF69+Fevrier!AD69+Mars!AD69+Avril!AD69+Mai!AD69+Juin!AD69+Juillet!AD69+Aout!AD69+Sept!AD69+Oct!AD69+Nov!AD69+Dec!AD69</f>
        <v>29</v>
      </c>
      <c r="V69" s="262">
        <f>Janvier!AG69+Fevrier!AE69+Mars!AE69+Avril!AE69+Mai!AE69+Juin!AE69+Juillet!AE69+Aout!AE69+Sept!AE69+Oct!AE69+Nov!AE69+Dec!AE69</f>
        <v>8760</v>
      </c>
      <c r="W69" s="150">
        <f>Janvier!AI69+Fevrier!AG69+Mars!AG69+Avril!AG69+Mai!AG69+Juin!AG69+Juillet!AG69+Aout!AG69+Sept!AG69+Oct!AG69+Nov!AG69+Dec!AG69</f>
        <v>0</v>
      </c>
      <c r="X69" s="309">
        <f t="shared" si="0"/>
        <v>1.1371741754035518</v>
      </c>
      <c r="Y69" s="309">
        <f t="shared" si="1"/>
        <v>0.76621565385610324</v>
      </c>
      <c r="Z69" s="309">
        <f t="shared" si="2"/>
        <v>0.84406087319112699</v>
      </c>
      <c r="AA69" s="309">
        <f t="shared" si="3"/>
        <v>0.38889431085768911</v>
      </c>
      <c r="AB69" s="309">
        <f t="shared" si="4"/>
        <v>0.32023284208053243</v>
      </c>
      <c r="AC69" s="309">
        <f t="shared" si="5"/>
        <v>1.3184220425169237</v>
      </c>
      <c r="AD69" s="309">
        <f t="shared" si="6"/>
        <v>0.51948952698016371</v>
      </c>
      <c r="AE69" s="309">
        <f t="shared" si="7"/>
        <v>0.63392980995977255</v>
      </c>
      <c r="AF69" s="309">
        <f t="shared" si="8"/>
        <v>0.6853932584269663</v>
      </c>
      <c r="AG69" s="310">
        <f t="shared" si="9"/>
        <v>1.2151477320016646</v>
      </c>
    </row>
    <row r="70" spans="1:33" x14ac:dyDescent="0.3">
      <c r="A70" s="184" t="s">
        <v>64</v>
      </c>
      <c r="B70" s="212">
        <v>16172</v>
      </c>
      <c r="C70" s="273">
        <v>16022</v>
      </c>
      <c r="D70" s="107">
        <f>Janvier!F70+Fevrier!D70+Mars!D70+Avril!D70+Mai!D70+Juin!D70+Juillet!D70+Aout!D70+Sept!D70+Oct!D70+Nov!D70+Dec!D70</f>
        <v>21100</v>
      </c>
      <c r="E70" s="97">
        <f>+Janvier!H70+Fevrier!F70+Mars!F70+Avril!F70+Mai!F70+Juin!F70+Juillet!F70+Aout!F70+Sept!F70+Oct!F70+Nov!F70+Dec!F70</f>
        <v>0</v>
      </c>
      <c r="F70" s="107">
        <f>Janvier!I70+Fevrier!G70+Mars!G70+Avril!G70+Mai!G70+Juin!G70+Juillet!G70+Aout!G70+Sept!G70+Oct!G70+Nov!G70+Dec!G70</f>
        <v>45440</v>
      </c>
      <c r="G70" s="97">
        <f>+Janvier!K70+Fevrier!I70+Mars!I70+Avril!I70+Mai!I70+Juin!I70+Juillet!I70+Aout!I70+Sept!I70+Oct!I70+Nov!I70+Dec!I70</f>
        <v>0</v>
      </c>
      <c r="H70" s="107">
        <f>Janvier!L70+Fevrier!J70+Mars!J70+Avril!J70+Mai!J70+Juin!J70+Juillet!J70+Aout!J70+Sept!J70+Oct!J70+Nov!J70+Dec!J70</f>
        <v>35890</v>
      </c>
      <c r="I70" s="97">
        <f>Janvier!N70+Fevrier!L70+Mars!L70+Avril!L70+Mai!L70+Juin!L70+Juillet!L70+Aout!L70+Sept!L70+Oct!L70+Nov!L70+Dec!L70</f>
        <v>0</v>
      </c>
      <c r="J70" s="107">
        <f>Janvier!O70+Fevrier!M70+Mars!M70+Avril!M70+Mai!M70+Juin!M70+Juillet!M70+Aout!M70+Sept!M70+Oct!M70+Nov!M70+Dec!M70</f>
        <v>37144</v>
      </c>
      <c r="K70" s="97">
        <f>Janvier!Q70+Fevrier!O70+Mars!O70+Avril!O70+Mai!O70+Juin!O70+Juillet!O70+Aout!O70+Sept!O70+Oct!O70+Nov!O70+Dec!O70</f>
        <v>0</v>
      </c>
      <c r="L70" s="107">
        <f>Janvier!R70+Fevrier!P70+Mars!P70+Avril!P70+Mai!P70+Juin!P70+Juillet!P70+Aout!P70+Sept!P70+Oct!P70+Nov!P70+Dec!P70</f>
        <v>22771</v>
      </c>
      <c r="M70" s="97">
        <f>Janvier!T70+Fevrier!R70+Mars!R70+Avril!R70+Mai!R70+Juin!R70+Juillet!R70+Aout!R70+Sept!R70+Oct!R70+Nov!R70+Dec!R70</f>
        <v>0</v>
      </c>
      <c r="N70" s="107">
        <f>Janvier!U70+Fevrier!S70+Mars!S70+Avril!S70+Mai!S70+Juin!S70+Juillet!S70+Aout!S70+Sept!S70+Oct!S70+Nov!S70+Dec!S70</f>
        <v>12890</v>
      </c>
      <c r="O70" s="97">
        <f>Janvier!W70+Fevrier!U70+Mars!U70+Avril!U70+Mai!U70+Juin!U70+Juillet!U70+Aout!U70+Sept!U70+Oct!U70+Nov!U70+Dec!U70</f>
        <v>0</v>
      </c>
      <c r="P70" s="107">
        <f>Janvier!X70+Fevrier!V70+Mars!V70+Avril!V70+Mai!V70+Juin!V70+Juillet!V70+Aout!V70+Sept!V70+Oct!V70+Nov!V70+Dec!V70</f>
        <v>24860</v>
      </c>
      <c r="Q70" s="97">
        <f>Janvier!Z70+Fevrier!X70+Mars!X70+Avril!X70+Mai!X70+Juin!X70+Juillet!X70+Aout!X70+Sept!X70+Oct!X70+Nov!X70+Dec!X70</f>
        <v>0</v>
      </c>
      <c r="R70" s="107">
        <f>Janvier!AA70+Fevrier!Y70+Mars!Y70+Avril!Y70+Mai!Y70+Juin!Y70+Juillet!Y70+Aout!Y70+Sept!Y70+Oct!Y70+Nov!Y70+Dec!Y70</f>
        <v>13090</v>
      </c>
      <c r="S70" s="97">
        <f>Janvier!AC70+Fevrier!AA70+Mars!AA70+Avril!AA70+Mai!AA70+Juin!AA70+Juillet!AA70+Aout!AA70+Sept!AA70+Oct!AA70+Nov!AA70+Dec!AA70</f>
        <v>0</v>
      </c>
      <c r="T70" s="107">
        <f>Janvier!AD70+Fevrier!AB70+Mars!AB70+Avril!AB70+Mai!AB70+Juin!AB70+Juillet!AB70+Aout!AB70+Sept!AB70+Oct!AB70+Nov!AB70+Dec!AB70</f>
        <v>13260</v>
      </c>
      <c r="U70" s="97">
        <f>Janvier!AF70+Fevrier!AD70+Mars!AD70+Avril!AD70+Mai!AD70+Juin!AD70+Juillet!AD70+Aout!AD70+Sept!AD70+Oct!AD70+Nov!AD70+Dec!AD70</f>
        <v>29</v>
      </c>
      <c r="V70" s="107">
        <f>Janvier!AG70+Fevrier!AE70+Mars!AE70+Avril!AE70+Mai!AE70+Juin!AE70+Juillet!AE70+Aout!AE70+Sept!AE70+Oct!AE70+Nov!AE70+Dec!AE70</f>
        <v>26240</v>
      </c>
      <c r="W70" s="97">
        <f>Janvier!AI70+Fevrier!AG70+Mars!AG70+Avril!AG70+Mai!AG70+Juin!AG70+Juillet!AG70+Aout!AG70+Sept!AG70+Oct!AG70+Nov!AG70+Dec!AG70</f>
        <v>0</v>
      </c>
      <c r="X70" s="309">
        <f t="shared" si="0"/>
        <v>1.0209109661127234</v>
      </c>
      <c r="Y70" s="309">
        <f t="shared" si="1"/>
        <v>0.7097348253258875</v>
      </c>
      <c r="Z70" s="309">
        <f t="shared" si="2"/>
        <v>0.74742907514513213</v>
      </c>
      <c r="AA70" s="309">
        <f t="shared" si="3"/>
        <v>0.32240223567669901</v>
      </c>
      <c r="AB70" s="309">
        <f t="shared" si="4"/>
        <v>0.4742186533889608</v>
      </c>
      <c r="AC70" s="309">
        <f t="shared" si="5"/>
        <v>0.80532411077911004</v>
      </c>
      <c r="AD70" s="309">
        <f t="shared" si="6"/>
        <v>0.68960734545555413</v>
      </c>
      <c r="AE70" s="309">
        <f t="shared" si="7"/>
        <v>0.7262236646832827</v>
      </c>
      <c r="AF70" s="309">
        <f t="shared" si="8"/>
        <v>0.73565514084800065</v>
      </c>
      <c r="AG70" s="310">
        <f t="shared" si="9"/>
        <v>1.4557760856599953</v>
      </c>
    </row>
    <row r="71" spans="1:33" x14ac:dyDescent="0.3">
      <c r="A71" s="184" t="s">
        <v>65</v>
      </c>
      <c r="B71" s="212">
        <v>23731</v>
      </c>
      <c r="C71" s="273">
        <v>23510</v>
      </c>
      <c r="D71" s="107">
        <f>Janvier!F71+Fevrier!D71+Mars!D71+Avril!D71+Mai!D71+Juin!D71+Juillet!D71+Aout!D71+Sept!D71+Oct!D71+Nov!D71+Dec!D71</f>
        <v>25350</v>
      </c>
      <c r="E71" s="97">
        <f>+Janvier!H71+Fevrier!F71+Mars!F71+Avril!F71+Mai!F71+Juin!F71+Juillet!F71+Aout!F71+Sept!F71+Oct!F71+Nov!F71+Dec!F71</f>
        <v>0</v>
      </c>
      <c r="F71" s="107">
        <f>Janvier!I71+Fevrier!G71+Mars!G71+Avril!G71+Mai!G71+Juin!G71+Juillet!G71+Aout!G71+Sept!G71+Oct!G71+Nov!G71+Dec!G71</f>
        <v>65380</v>
      </c>
      <c r="G71" s="97">
        <f>+Janvier!K71+Fevrier!I71+Mars!I71+Avril!I71+Mai!I71+Juin!I71+Juillet!I71+Aout!I71+Sept!I71+Oct!I71+Nov!I71+Dec!I71</f>
        <v>0</v>
      </c>
      <c r="H71" s="107">
        <f>Janvier!L71+Fevrier!J71+Mars!J71+Avril!J71+Mai!J71+Juin!J71+Juillet!J71+Aout!J71+Sept!J71+Oct!J71+Nov!J71+Dec!J71</f>
        <v>54590</v>
      </c>
      <c r="I71" s="97">
        <f>Janvier!N71+Fevrier!L71+Mars!L71+Avril!L71+Mai!L71+Juin!L71+Juillet!L71+Aout!L71+Sept!L71+Oct!L71+Nov!L71+Dec!L71</f>
        <v>0</v>
      </c>
      <c r="J71" s="107">
        <f>Janvier!O71+Fevrier!M71+Mars!M71+Avril!M71+Mai!M71+Juin!M71+Juillet!M71+Aout!M71+Sept!M71+Oct!M71+Nov!M71+Dec!M71</f>
        <v>57120</v>
      </c>
      <c r="K71" s="97">
        <f>Janvier!Q71+Fevrier!O71+Mars!O71+Avril!O71+Mai!O71+Juin!O71+Juillet!O71+Aout!O71+Sept!O71+Oct!O71+Nov!O71+Dec!O71</f>
        <v>0</v>
      </c>
      <c r="L71" s="107">
        <f>Janvier!R71+Fevrier!P71+Mars!P71+Avril!P71+Mai!P71+Juin!P71+Juillet!P71+Aout!P71+Sept!P71+Oct!P71+Nov!P71+Dec!P71</f>
        <v>33289</v>
      </c>
      <c r="M71" s="97">
        <f>Janvier!T71+Fevrier!R71+Mars!R71+Avril!R71+Mai!R71+Juin!R71+Juillet!R71+Aout!R71+Sept!R71+Oct!R71+Nov!R71+Dec!R71</f>
        <v>0</v>
      </c>
      <c r="N71" s="107">
        <f>Janvier!U71+Fevrier!S71+Mars!S71+Avril!S71+Mai!S71+Juin!S71+Juillet!S71+Aout!S71+Sept!S71+Oct!S71+Nov!S71+Dec!S71</f>
        <v>17520</v>
      </c>
      <c r="O71" s="97">
        <f>Janvier!W71+Fevrier!U71+Mars!U71+Avril!U71+Mai!U71+Juin!U71+Juillet!U71+Aout!U71+Sept!U71+Oct!U71+Nov!U71+Dec!U71</f>
        <v>0</v>
      </c>
      <c r="P71" s="107">
        <f>Janvier!X71+Fevrier!V71+Mars!V71+Avril!V71+Mai!V71+Juin!V71+Juillet!V71+Aout!V71+Sept!V71+Oct!V71+Nov!V71+Dec!V71</f>
        <v>37320</v>
      </c>
      <c r="Q71" s="97">
        <f>Janvier!Z71+Fevrier!X71+Mars!X71+Avril!X71+Mai!X71+Juin!X71+Juillet!X71+Aout!X71+Sept!X71+Oct!X71+Nov!X71+Dec!X71</f>
        <v>0</v>
      </c>
      <c r="R71" s="107">
        <f>Janvier!AA71+Fevrier!Y71+Mars!Y71+Avril!Y71+Mai!Y71+Juin!Y71+Juillet!Y71+Aout!Y71+Sept!Y71+Oct!Y71+Nov!Y71+Dec!Y71</f>
        <v>18800</v>
      </c>
      <c r="S71" s="97">
        <f>Janvier!AC71+Fevrier!AA71+Mars!AA71+Avril!AA71+Mai!AA71+Juin!AA71+Juillet!AA71+Aout!AA71+Sept!AA71+Oct!AA71+Nov!AA71+Dec!AA71</f>
        <v>10</v>
      </c>
      <c r="T71" s="107">
        <f>Janvier!AD71+Fevrier!AB71+Mars!AB71+Avril!AB71+Mai!AB71+Juin!AB71+Juillet!AB71+Aout!AB71+Sept!AB71+Oct!AB71+Nov!AB71+Dec!AB71</f>
        <v>15860</v>
      </c>
      <c r="U71" s="97">
        <f>Janvier!AF71+Fevrier!AD71+Mars!AD71+Avril!AD71+Mai!AD71+Juin!AD71+Juillet!AD71+Aout!AD71+Sept!AD71+Oct!AD71+Nov!AD71+Dec!AD71</f>
        <v>29</v>
      </c>
      <c r="V71" s="107">
        <f>Janvier!AG71+Fevrier!AE71+Mars!AE71+Avril!AE71+Mai!AE71+Juin!AE71+Juillet!AE71+Aout!AE71+Sept!AE71+Oct!AE71+Nov!AE71+Dec!AE71</f>
        <v>32470</v>
      </c>
      <c r="W71" s="97">
        <f>Janvier!AI71+Fevrier!AG71+Mars!AG71+Avril!AG71+Mai!AG71+Juin!AG71+Juillet!AG71+Aout!AG71+Sept!AG71+Oct!AG71+Nov!AG71+Dec!AG71</f>
        <v>0</v>
      </c>
      <c r="X71" s="309">
        <f t="shared" ref="X71:X85" si="10">D71/(B71*0.9*1.42)</f>
        <v>0.83585524213786644</v>
      </c>
      <c r="Y71" s="309">
        <f t="shared" ref="Y71:Y85" si="11">F71/(C71*0.9*4*1.11)</f>
        <v>0.69593200175930925</v>
      </c>
      <c r="Z71" s="309">
        <f t="shared" ref="Z71:Z85" si="12">H71/(C71*0.9*3*1.11)</f>
        <v>0.77477165241237267</v>
      </c>
      <c r="AA71" s="309">
        <f t="shared" ref="AA71:AA85" si="13">H71/(J71*0.9*3*1.11)</f>
        <v>0.31888798228667509</v>
      </c>
      <c r="AB71" s="309">
        <f t="shared" ref="AB71:AB85" si="14">L71/(C71*0.9*3*1.11)</f>
        <v>0.47245600910707958</v>
      </c>
      <c r="AC71" s="309">
        <f t="shared" ref="AC71:AC85" si="15">N71/(C71*0.9*1.11)</f>
        <v>0.74596076297479952</v>
      </c>
      <c r="AD71" s="309">
        <f t="shared" ref="AD71:AD85" si="16">P71/(C71*0.9*2*1.25)</f>
        <v>0.70551538352474119</v>
      </c>
      <c r="AE71" s="309">
        <f t="shared" ref="AE71:AE85" si="17">R71/(C71*0.9*1.25)</f>
        <v>0.71080863934968574</v>
      </c>
      <c r="AF71" s="309">
        <f t="shared" ref="AF71:AF85" si="18">T71/(C71*0.9*1.25)</f>
        <v>0.59965026702585189</v>
      </c>
      <c r="AG71" s="310">
        <f t="shared" ref="AG71:AG85" si="19">V71/(C71*0.9*1.25)</f>
        <v>1.227657261685335</v>
      </c>
    </row>
    <row r="72" spans="1:33" x14ac:dyDescent="0.3">
      <c r="A72" s="185" t="s">
        <v>66</v>
      </c>
      <c r="B72" s="220">
        <v>21982</v>
      </c>
      <c r="C72" s="275">
        <v>21778</v>
      </c>
      <c r="D72" s="107">
        <f>Janvier!F72+Fevrier!D72+Mars!D72+Avril!D72+Mai!D72+Juin!D72+Juillet!D72+Aout!D72+Sept!D72+Oct!D72+Nov!D72+Dec!D72</f>
        <v>19200</v>
      </c>
      <c r="E72" s="97">
        <f>+Janvier!H72+Fevrier!F72+Mars!F72+Avril!F72+Mai!F72+Juin!F72+Juillet!F72+Aout!F72+Sept!F72+Oct!F72+Nov!F72+Dec!F72</f>
        <v>0</v>
      </c>
      <c r="F72" s="107">
        <f>Janvier!I72+Fevrier!G72+Mars!G72+Avril!G72+Mai!G72+Juin!G72+Juillet!G72+Aout!G72+Sept!G72+Oct!G72+Nov!G72+Dec!G72</f>
        <v>50280</v>
      </c>
      <c r="G72" s="97">
        <f>+Janvier!K72+Fevrier!I72+Mars!I72+Avril!I72+Mai!I72+Juin!I72+Juillet!I72+Aout!I72+Sept!I72+Oct!I72+Nov!I72+Dec!I72</f>
        <v>0</v>
      </c>
      <c r="H72" s="107">
        <f>Janvier!L72+Fevrier!J72+Mars!J72+Avril!J72+Mai!J72+Juin!J72+Juillet!J72+Aout!J72+Sept!J72+Oct!J72+Nov!J72+Dec!J72</f>
        <v>45880</v>
      </c>
      <c r="I72" s="97">
        <f>Janvier!N72+Fevrier!L72+Mars!L72+Avril!L72+Mai!L72+Juin!L72+Juillet!L72+Aout!L72+Sept!L72+Oct!L72+Nov!L72+Dec!L72</f>
        <v>0</v>
      </c>
      <c r="J72" s="107">
        <f>Janvier!O72+Fevrier!M72+Mars!M72+Avril!M72+Mai!M72+Juin!M72+Juillet!M72+Aout!M72+Sept!M72+Oct!M72+Nov!M72+Dec!M72</f>
        <v>48054</v>
      </c>
      <c r="K72" s="97">
        <f>Janvier!Q72+Fevrier!O72+Mars!O72+Avril!O72+Mai!O72+Juin!O72+Juillet!O72+Aout!O72+Sept!O72+Oct!O72+Nov!O72+Dec!O72</f>
        <v>0</v>
      </c>
      <c r="L72" s="107">
        <f>Janvier!R72+Fevrier!P72+Mars!P72+Avril!P72+Mai!P72+Juin!P72+Juillet!P72+Aout!P72+Sept!P72+Oct!P72+Nov!P72+Dec!P72</f>
        <v>25883</v>
      </c>
      <c r="M72" s="97">
        <f>Janvier!T72+Fevrier!R72+Mars!R72+Avril!R72+Mai!R72+Juin!R72+Juillet!R72+Aout!R72+Sept!R72+Oct!R72+Nov!R72+Dec!R72</f>
        <v>0</v>
      </c>
      <c r="N72" s="107">
        <f>Janvier!U72+Fevrier!S72+Mars!S72+Avril!S72+Mai!S72+Juin!S72+Juillet!S72+Aout!S72+Sept!S72+Oct!S72+Nov!S72+Dec!S72</f>
        <v>13310</v>
      </c>
      <c r="O72" s="97">
        <f>Janvier!W72+Fevrier!U72+Mars!U72+Avril!U72+Mai!U72+Juin!U72+Juillet!U72+Aout!U72+Sept!U72+Oct!U72+Nov!U72+Dec!U72</f>
        <v>0</v>
      </c>
      <c r="P72" s="107">
        <f>Janvier!X72+Fevrier!V72+Mars!V72+Avril!V72+Mai!V72+Juin!V72+Juillet!V72+Aout!V72+Sept!V72+Oct!V72+Nov!V72+Dec!V72</f>
        <v>26130</v>
      </c>
      <c r="Q72" s="97">
        <f>Janvier!Z72+Fevrier!X72+Mars!X72+Avril!X72+Mai!X72+Juin!X72+Juillet!X72+Aout!X72+Sept!X72+Oct!X72+Nov!X72+Dec!X72</f>
        <v>0</v>
      </c>
      <c r="R72" s="107">
        <f>Janvier!AA72+Fevrier!Y72+Mars!Y72+Avril!Y72+Mai!Y72+Juin!Y72+Juillet!Y72+Aout!Y72+Sept!Y72+Oct!Y72+Nov!Y72+Dec!Y72</f>
        <v>15040</v>
      </c>
      <c r="S72" s="97">
        <f>Janvier!AC72+Fevrier!AA72+Mars!AA72+Avril!AA72+Mai!AA72+Juin!AA72+Juillet!AA72+Aout!AA72+Sept!AA72+Oct!AA72+Nov!AA72+Dec!AA72</f>
        <v>0</v>
      </c>
      <c r="T72" s="107">
        <f>Janvier!AD72+Fevrier!AB72+Mars!AB72+Avril!AB72+Mai!AB72+Juin!AB72+Juillet!AB72+Aout!AB72+Sept!AB72+Oct!AB72+Nov!AB72+Dec!AB72</f>
        <v>14010</v>
      </c>
      <c r="U72" s="97">
        <f>Janvier!AF72+Fevrier!AD72+Mars!AD72+Avril!AD72+Mai!AD72+Juin!AD72+Juillet!AD72+Aout!AD72+Sept!AD72+Oct!AD72+Nov!AD72+Dec!AD72</f>
        <v>29</v>
      </c>
      <c r="V72" s="107">
        <f>Janvier!AG72+Fevrier!AE72+Mars!AE72+Avril!AE72+Mai!AE72+Juin!AE72+Juillet!AE72+Aout!AE72+Sept!AE72+Oct!AE72+Nov!AE72+Dec!AE72</f>
        <v>30030</v>
      </c>
      <c r="W72" s="97">
        <f>Janvier!AI72+Fevrier!AG72+Mars!AG72+Avril!AG72+Mai!AG72+Juin!AG72+Juillet!AG72+Aout!AG72+Sept!AG72+Oct!AG72+Nov!AG72+Dec!AG72</f>
        <v>0</v>
      </c>
      <c r="X72" s="309">
        <f t="shared" si="10"/>
        <v>0.68344437168609573</v>
      </c>
      <c r="Y72" s="309">
        <f t="shared" si="11"/>
        <v>0.577765753631306</v>
      </c>
      <c r="Z72" s="309">
        <f t="shared" si="12"/>
        <v>0.70294067294097895</v>
      </c>
      <c r="AA72" s="309">
        <f t="shared" si="13"/>
        <v>0.31857164804820914</v>
      </c>
      <c r="AB72" s="309">
        <f t="shared" si="14"/>
        <v>0.39656088573956749</v>
      </c>
      <c r="AC72" s="309">
        <f t="shared" si="15"/>
        <v>0.61177901199941787</v>
      </c>
      <c r="AD72" s="309">
        <f t="shared" si="16"/>
        <v>0.53325986469525821</v>
      </c>
      <c r="AE72" s="309">
        <f t="shared" si="17"/>
        <v>0.61387128702768334</v>
      </c>
      <c r="AF72" s="309">
        <f t="shared" si="18"/>
        <v>0.57183089968469714</v>
      </c>
      <c r="AG72" s="310">
        <f t="shared" si="19"/>
        <v>1.22570177855328</v>
      </c>
    </row>
    <row r="73" spans="1:33" x14ac:dyDescent="0.3">
      <c r="A73" s="185" t="s">
        <v>67</v>
      </c>
      <c r="B73" s="220">
        <v>38741</v>
      </c>
      <c r="C73" s="275">
        <v>38381</v>
      </c>
      <c r="D73" s="107">
        <f>Janvier!F73+Fevrier!D73+Mars!D73+Avril!D73+Mai!D73+Juin!D73+Juillet!D73+Aout!D73+Sept!D73+Oct!D73+Nov!D73+Dec!D73</f>
        <v>46720</v>
      </c>
      <c r="E73" s="97">
        <f>+Janvier!H73+Fevrier!F73+Mars!F73+Avril!F73+Mai!F73+Juin!F73+Juillet!F73+Aout!F73+Sept!F73+Oct!F73+Nov!F73+Dec!F73</f>
        <v>0</v>
      </c>
      <c r="F73" s="107">
        <f>Janvier!I73+Fevrier!G73+Mars!G73+Avril!G73+Mai!G73+Juin!G73+Juillet!G73+Aout!G73+Sept!G73+Oct!G73+Nov!G73+Dec!G73</f>
        <v>100120</v>
      </c>
      <c r="G73" s="97">
        <f>+Janvier!K73+Fevrier!I73+Mars!I73+Avril!I73+Mai!I73+Juin!I73+Juillet!I73+Aout!I73+Sept!I73+Oct!I73+Nov!I73+Dec!I73</f>
        <v>0</v>
      </c>
      <c r="H73" s="107">
        <f>Janvier!L73+Fevrier!J73+Mars!J73+Avril!J73+Mai!J73+Juin!J73+Juillet!J73+Aout!J73+Sept!J73+Oct!J73+Nov!J73+Dec!J73</f>
        <v>83970</v>
      </c>
      <c r="I73" s="97">
        <f>Janvier!N73+Fevrier!L73+Mars!L73+Avril!L73+Mai!L73+Juin!L73+Juillet!L73+Aout!L73+Sept!L73+Oct!L73+Nov!L73+Dec!L73</f>
        <v>0</v>
      </c>
      <c r="J73" s="107">
        <f>Janvier!O73+Fevrier!M73+Mars!M73+Avril!M73+Mai!M73+Juin!M73+Juillet!M73+Aout!M73+Sept!M73+Oct!M73+Nov!M73+Dec!M73</f>
        <v>75510</v>
      </c>
      <c r="K73" s="97">
        <f>Janvier!Q73+Fevrier!O73+Mars!O73+Avril!O73+Mai!O73+Juin!O73+Juillet!O73+Aout!O73+Sept!O73+Oct!O73+Nov!O73+Dec!O73</f>
        <v>0</v>
      </c>
      <c r="L73" s="107">
        <f>Janvier!R73+Fevrier!P73+Mars!P73+Avril!P73+Mai!P73+Juin!P73+Juillet!P73+Aout!P73+Sept!P73+Oct!P73+Nov!P73+Dec!P73</f>
        <v>43438</v>
      </c>
      <c r="M73" s="97">
        <f>Janvier!T73+Fevrier!R73+Mars!R73+Avril!R73+Mai!R73+Juin!R73+Juillet!R73+Aout!R73+Sept!R73+Oct!R73+Nov!R73+Dec!R73</f>
        <v>0</v>
      </c>
      <c r="N73" s="107">
        <f>Janvier!U73+Fevrier!S73+Mars!S73+Avril!S73+Mai!S73+Juin!S73+Juillet!S73+Aout!S73+Sept!S73+Oct!S73+Nov!S73+Dec!S73</f>
        <v>25135</v>
      </c>
      <c r="O73" s="97">
        <f>Janvier!W73+Fevrier!U73+Mars!U73+Avril!U73+Mai!U73+Juin!U73+Juillet!U73+Aout!U73+Sept!U73+Oct!U73+Nov!U73+Dec!U73</f>
        <v>0</v>
      </c>
      <c r="P73" s="107">
        <f>Janvier!X73+Fevrier!V73+Mars!V73+Avril!V73+Mai!V73+Juin!V73+Juillet!V73+Aout!V73+Sept!V73+Oct!V73+Nov!V73+Dec!V73</f>
        <v>54730</v>
      </c>
      <c r="Q73" s="97">
        <f>Janvier!Z73+Fevrier!X73+Mars!X73+Avril!X73+Mai!X73+Juin!X73+Juillet!X73+Aout!X73+Sept!X73+Oct!X73+Nov!X73+Dec!X73</f>
        <v>0</v>
      </c>
      <c r="R73" s="107">
        <f>Janvier!AA73+Fevrier!Y73+Mars!Y73+Avril!Y73+Mai!Y73+Juin!Y73+Juillet!Y73+Aout!Y73+Sept!Y73+Oct!Y73+Nov!Y73+Dec!Y73</f>
        <v>29850</v>
      </c>
      <c r="S73" s="97">
        <f>Janvier!AC73+Fevrier!AA73+Mars!AA73+Avril!AA73+Mai!AA73+Juin!AA73+Juillet!AA73+Aout!AA73+Sept!AA73+Oct!AA73+Nov!AA73+Dec!AA73</f>
        <v>10</v>
      </c>
      <c r="T73" s="107">
        <f>Janvier!AD73+Fevrier!AB73+Mars!AB73+Avril!AB73+Mai!AB73+Juin!AB73+Juillet!AB73+Aout!AB73+Sept!AB73+Oct!AB73+Nov!AB73+Dec!AB73</f>
        <v>22930</v>
      </c>
      <c r="U73" s="97">
        <f>Janvier!AF73+Fevrier!AD73+Mars!AD73+Avril!AD73+Mai!AD73+Juin!AD73+Juillet!AD73+Aout!AD73+Sept!AD73+Oct!AD73+Nov!AD73+Dec!AD73</f>
        <v>29</v>
      </c>
      <c r="V73" s="107">
        <f>Janvier!AG73+Fevrier!AE73+Mars!AE73+Avril!AE73+Mai!AE73+Juin!AE73+Juillet!AE73+Aout!AE73+Sept!AE73+Oct!AE73+Nov!AE73+Dec!AE73</f>
        <v>57500</v>
      </c>
      <c r="W73" s="97">
        <f>Janvier!AI73+Fevrier!AG73+Mars!AG73+Avril!AG73+Mai!AG73+Juin!AG73+Juillet!AG73+Aout!AG73+Sept!AG73+Oct!AG73+Nov!AG73+Dec!AG73</f>
        <v>0</v>
      </c>
      <c r="X73" s="309">
        <f t="shared" si="10"/>
        <v>0.94362872669219877</v>
      </c>
      <c r="Y73" s="309">
        <f t="shared" si="11"/>
        <v>0.65279839126273553</v>
      </c>
      <c r="Z73" s="309">
        <f t="shared" si="12"/>
        <v>0.72999708235892791</v>
      </c>
      <c r="AA73" s="309">
        <f t="shared" si="13"/>
        <v>0.37105043064518628</v>
      </c>
      <c r="AB73" s="309">
        <f t="shared" si="14"/>
        <v>0.37763026394554139</v>
      </c>
      <c r="AC73" s="309">
        <f t="shared" si="15"/>
        <v>0.65553685834553965</v>
      </c>
      <c r="AD73" s="309">
        <f t="shared" si="16"/>
        <v>0.63376265455419201</v>
      </c>
      <c r="AE73" s="309">
        <f t="shared" si="17"/>
        <v>0.6913142787664035</v>
      </c>
      <c r="AF73" s="309">
        <f t="shared" si="18"/>
        <v>0.53104979605070801</v>
      </c>
      <c r="AG73" s="310">
        <f t="shared" si="19"/>
        <v>1.3316774214093201</v>
      </c>
    </row>
    <row r="74" spans="1:33" x14ac:dyDescent="0.3">
      <c r="A74" s="185" t="s">
        <v>68</v>
      </c>
      <c r="B74" s="220">
        <v>26767</v>
      </c>
      <c r="C74" s="275">
        <v>26519</v>
      </c>
      <c r="D74" s="107">
        <f>Janvier!F74+Fevrier!D74+Mars!D74+Avril!D74+Mai!D74+Juin!D74+Juillet!D74+Aout!D74+Sept!D74+Oct!D74+Nov!D74+Dec!D74</f>
        <v>31320</v>
      </c>
      <c r="E74" s="97">
        <f>+Janvier!H74+Fevrier!F74+Mars!F74+Avril!F74+Mai!F74+Juin!F74+Juillet!F74+Aout!F74+Sept!F74+Oct!F74+Nov!F74+Dec!F74</f>
        <v>0</v>
      </c>
      <c r="F74" s="107">
        <f>Janvier!I74+Fevrier!G74+Mars!G74+Avril!G74+Mai!G74+Juin!G74+Juillet!G74+Aout!G74+Sept!G74+Oct!G74+Nov!G74+Dec!G74</f>
        <v>81340</v>
      </c>
      <c r="G74" s="97">
        <f>+Janvier!K74+Fevrier!I74+Mars!I74+Avril!I74+Mai!I74+Juin!I74+Juillet!I74+Aout!I74+Sept!I74+Oct!I74+Nov!I74+Dec!I74</f>
        <v>0</v>
      </c>
      <c r="H74" s="107">
        <f>Janvier!L74+Fevrier!J74+Mars!J74+Avril!J74+Mai!J74+Juin!J74+Juillet!J74+Aout!J74+Sept!J74+Oct!J74+Nov!J74+Dec!J74</f>
        <v>63220</v>
      </c>
      <c r="I74" s="97">
        <f>Janvier!N74+Fevrier!L74+Mars!L74+Avril!L74+Mai!L74+Juin!L74+Juillet!L74+Aout!L74+Sept!L74+Oct!L74+Nov!L74+Dec!L74</f>
        <v>0</v>
      </c>
      <c r="J74" s="107">
        <f>Janvier!O74+Fevrier!M74+Mars!M74+Avril!M74+Mai!M74+Juin!M74+Juillet!M74+Aout!M74+Sept!M74+Oct!M74+Nov!M74+Dec!M74</f>
        <v>63760</v>
      </c>
      <c r="K74" s="97">
        <f>Janvier!Q74+Fevrier!O74+Mars!O74+Avril!O74+Mai!O74+Juin!O74+Juillet!O74+Aout!O74+Sept!O74+Oct!O74+Nov!O74+Dec!O74</f>
        <v>0</v>
      </c>
      <c r="L74" s="107">
        <f>Janvier!R74+Fevrier!P74+Mars!P74+Avril!P74+Mai!P74+Juin!P74+Juillet!P74+Aout!P74+Sept!P74+Oct!P74+Nov!P74+Dec!P74</f>
        <v>39054</v>
      </c>
      <c r="M74" s="97">
        <f>Janvier!T74+Fevrier!R74+Mars!R74+Avril!R74+Mai!R74+Juin!R74+Juillet!R74+Aout!R74+Sept!R74+Oct!R74+Nov!R74+Dec!R74</f>
        <v>0</v>
      </c>
      <c r="N74" s="107">
        <f>Janvier!U74+Fevrier!S74+Mars!S74+Avril!S74+Mai!S74+Juin!S74+Juillet!S74+Aout!S74+Sept!S74+Oct!S74+Nov!S74+Dec!S74</f>
        <v>17980</v>
      </c>
      <c r="O74" s="97">
        <f>Janvier!W74+Fevrier!U74+Mars!U74+Avril!U74+Mai!U74+Juin!U74+Juillet!U74+Aout!U74+Sept!U74+Oct!U74+Nov!U74+Dec!U74</f>
        <v>0</v>
      </c>
      <c r="P74" s="107">
        <f>Janvier!X74+Fevrier!V74+Mars!V74+Avril!V74+Mai!V74+Juin!V74+Juillet!V74+Aout!V74+Sept!V74+Oct!V74+Nov!V74+Dec!V74</f>
        <v>43550</v>
      </c>
      <c r="Q74" s="97">
        <f>Janvier!Z74+Fevrier!X74+Mars!X74+Avril!X74+Mai!X74+Juin!X74+Juillet!X74+Aout!X74+Sept!X74+Oct!X74+Nov!X74+Dec!X74</f>
        <v>0</v>
      </c>
      <c r="R74" s="107">
        <f>Janvier!AA74+Fevrier!Y74+Mars!Y74+Avril!Y74+Mai!Y74+Juin!Y74+Juillet!Y74+Aout!Y74+Sept!Y74+Oct!Y74+Nov!Y74+Dec!Y74</f>
        <v>23480</v>
      </c>
      <c r="S74" s="97">
        <f>Janvier!AC74+Fevrier!AA74+Mars!AA74+Avril!AA74+Mai!AA74+Juin!AA74+Juillet!AA74+Aout!AA74+Sept!AA74+Oct!AA74+Nov!AA74+Dec!AA74</f>
        <v>0</v>
      </c>
      <c r="T74" s="107">
        <f>Janvier!AD74+Fevrier!AB74+Mars!AB74+Avril!AB74+Mai!AB74+Juin!AB74+Juillet!AB74+Aout!AB74+Sept!AB74+Oct!AB74+Nov!AB74+Dec!AB74</f>
        <v>20700</v>
      </c>
      <c r="U74" s="97">
        <f>Janvier!AF74+Fevrier!AD74+Mars!AD74+Avril!AD74+Mai!AD74+Juin!AD74+Juillet!AD74+Aout!AD74+Sept!AD74+Oct!AD74+Nov!AD74+Dec!AD74</f>
        <v>29</v>
      </c>
      <c r="V74" s="107">
        <f>Janvier!AG74+Fevrier!AE74+Mars!AE74+Avril!AE74+Mai!AE74+Juin!AE74+Juillet!AE74+Aout!AE74+Sept!AE74+Oct!AE74+Nov!AE74+Dec!AE74</f>
        <v>32910</v>
      </c>
      <c r="W74" s="97">
        <f>Janvier!AI74+Fevrier!AG74+Mars!AG74+Avril!AG74+Mai!AG74+Juin!AG74+Juillet!AG74+Aout!AG74+Sept!AG74+Oct!AG74+Nov!AG74+Dec!AG74</f>
        <v>0</v>
      </c>
      <c r="X74" s="309">
        <f t="shared" si="10"/>
        <v>0.91556925518441101</v>
      </c>
      <c r="Y74" s="309">
        <f t="shared" si="11"/>
        <v>0.76757627947340978</v>
      </c>
      <c r="Z74" s="309">
        <f t="shared" si="12"/>
        <v>0.79544582228192706</v>
      </c>
      <c r="AA74" s="309">
        <f t="shared" si="13"/>
        <v>0.33084108784652483</v>
      </c>
      <c r="AB74" s="309">
        <f t="shared" si="14"/>
        <v>0.49138470647577315</v>
      </c>
      <c r="AC74" s="309">
        <f t="shared" si="15"/>
        <v>0.67868313277265335</v>
      </c>
      <c r="AD74" s="309">
        <f t="shared" si="16"/>
        <v>0.72987501623573869</v>
      </c>
      <c r="AE74" s="309">
        <f t="shared" si="17"/>
        <v>0.78702481658852552</v>
      </c>
      <c r="AF74" s="309">
        <f t="shared" si="18"/>
        <v>0.6938421509106677</v>
      </c>
      <c r="AG74" s="310">
        <f t="shared" si="19"/>
        <v>1.1031084631144963</v>
      </c>
    </row>
    <row r="75" spans="1:33" x14ac:dyDescent="0.3">
      <c r="A75" s="185" t="s">
        <v>69</v>
      </c>
      <c r="B75" s="220">
        <v>34030</v>
      </c>
      <c r="C75" s="275">
        <v>33714</v>
      </c>
      <c r="D75" s="107">
        <f>Janvier!F75+Fevrier!D75+Mars!D75+Avril!D75+Mai!D75+Juin!D75+Juillet!D75+Aout!D75+Sept!D75+Oct!D75+Nov!D75+Dec!D75</f>
        <v>38260</v>
      </c>
      <c r="E75" s="97">
        <f>+Janvier!H75+Fevrier!F75+Mars!F75+Avril!F75+Mai!F75+Juin!F75+Juillet!F75+Aout!F75+Sept!F75+Oct!F75+Nov!F75+Dec!F75</f>
        <v>0</v>
      </c>
      <c r="F75" s="107">
        <f>Janvier!I75+Fevrier!G75+Mars!G75+Avril!G75+Mai!G75+Juin!G75+Juillet!G75+Aout!G75+Sept!G75+Oct!G75+Nov!G75+Dec!G75</f>
        <v>87260</v>
      </c>
      <c r="G75" s="97">
        <f>+Janvier!K75+Fevrier!I75+Mars!I75+Avril!I75+Mai!I75+Juin!I75+Juillet!I75+Aout!I75+Sept!I75+Oct!I75+Nov!I75+Dec!I75</f>
        <v>0</v>
      </c>
      <c r="H75" s="107">
        <f>Janvier!L75+Fevrier!J75+Mars!J75+Avril!J75+Mai!J75+Juin!J75+Juillet!J75+Aout!J75+Sept!J75+Oct!J75+Nov!J75+Dec!J75</f>
        <v>71430</v>
      </c>
      <c r="I75" s="97">
        <f>Janvier!N75+Fevrier!L75+Mars!L75+Avril!L75+Mai!L75+Juin!L75+Juillet!L75+Aout!L75+Sept!L75+Oct!L75+Nov!L75+Dec!L75</f>
        <v>0</v>
      </c>
      <c r="J75" s="107">
        <f>Janvier!O75+Fevrier!M75+Mars!M75+Avril!M75+Mai!M75+Juin!M75+Juillet!M75+Aout!M75+Sept!M75+Oct!M75+Nov!M75+Dec!M75</f>
        <v>71464</v>
      </c>
      <c r="K75" s="97">
        <f>Janvier!Q75+Fevrier!O75+Mars!O75+Avril!O75+Mai!O75+Juin!O75+Juillet!O75+Aout!O75+Sept!O75+Oct!O75+Nov!O75+Dec!O75</f>
        <v>0</v>
      </c>
      <c r="L75" s="107">
        <f>Janvier!R75+Fevrier!P75+Mars!P75+Avril!P75+Mai!P75+Juin!P75+Juillet!P75+Aout!P75+Sept!P75+Oct!P75+Nov!P75+Dec!P75</f>
        <v>124558</v>
      </c>
      <c r="M75" s="97">
        <f>Janvier!T75+Fevrier!R75+Mars!R75+Avril!R75+Mai!R75+Juin!R75+Juillet!R75+Aout!R75+Sept!R75+Oct!R75+Nov!R75+Dec!R75</f>
        <v>0</v>
      </c>
      <c r="N75" s="107">
        <f>Janvier!U75+Fevrier!S75+Mars!S75+Avril!S75+Mai!S75+Juin!S75+Juillet!S75+Aout!S75+Sept!S75+Oct!S75+Nov!S75+Dec!S75</f>
        <v>24065</v>
      </c>
      <c r="O75" s="97">
        <f>Janvier!W75+Fevrier!U75+Mars!U75+Avril!U75+Mai!U75+Juin!U75+Juillet!U75+Aout!U75+Sept!U75+Oct!U75+Nov!U75+Dec!U75</f>
        <v>0</v>
      </c>
      <c r="P75" s="107">
        <f>Janvier!X75+Fevrier!V75+Mars!V75+Avril!V75+Mai!V75+Juin!V75+Juillet!V75+Aout!V75+Sept!V75+Oct!V75+Nov!V75+Dec!V75</f>
        <v>44820</v>
      </c>
      <c r="Q75" s="97">
        <f>Janvier!Z75+Fevrier!X75+Mars!X75+Avril!X75+Mai!X75+Juin!X75+Juillet!X75+Aout!X75+Sept!X75+Oct!X75+Nov!X75+Dec!X75</f>
        <v>0</v>
      </c>
      <c r="R75" s="107">
        <f>Janvier!AA75+Fevrier!Y75+Mars!Y75+Avril!Y75+Mai!Y75+Juin!Y75+Juillet!Y75+Aout!Y75+Sept!Y75+Oct!Y75+Nov!Y75+Dec!Y75</f>
        <v>25890</v>
      </c>
      <c r="S75" s="97">
        <f>Janvier!AC75+Fevrier!AA75+Mars!AA75+Avril!AA75+Mai!AA75+Juin!AA75+Juillet!AA75+Aout!AA75+Sept!AA75+Oct!AA75+Nov!AA75+Dec!AA75</f>
        <v>7</v>
      </c>
      <c r="T75" s="107">
        <f>Janvier!AD75+Fevrier!AB75+Mars!AB75+Avril!AB75+Mai!AB75+Juin!AB75+Juillet!AB75+Aout!AB75+Sept!AB75+Oct!AB75+Nov!AB75+Dec!AB75</f>
        <v>21890</v>
      </c>
      <c r="U75" s="97">
        <f>Janvier!AF75+Fevrier!AD75+Mars!AD75+Avril!AD75+Mai!AD75+Juin!AD75+Juillet!AD75+Aout!AD75+Sept!AD75+Oct!AD75+Nov!AD75+Dec!AD75</f>
        <v>20</v>
      </c>
      <c r="V75" s="107">
        <f>Janvier!AG75+Fevrier!AE75+Mars!AE75+Avril!AE75+Mai!AE75+Juin!AE75+Juillet!AE75+Aout!AE75+Sept!AE75+Oct!AE75+Nov!AE75+Dec!AE75</f>
        <v>40620</v>
      </c>
      <c r="W75" s="97">
        <f>Janvier!AI75+Fevrier!AG75+Mars!AG75+Avril!AG75+Mai!AG75+Juin!AG75+Juillet!AG75+Aout!AG75+Sept!AG75+Oct!AG75+Nov!AG75+Dec!AG75</f>
        <v>0</v>
      </c>
      <c r="X75" s="309">
        <f t="shared" si="10"/>
        <v>0.87973559185787009</v>
      </c>
      <c r="Y75" s="309">
        <f t="shared" si="11"/>
        <v>0.64770827658648733</v>
      </c>
      <c r="Z75" s="309">
        <f t="shared" si="12"/>
        <v>0.70694174034032842</v>
      </c>
      <c r="AA75" s="309">
        <f t="shared" si="13"/>
        <v>0.33350825357989805</v>
      </c>
      <c r="AB75" s="309">
        <f t="shared" si="14"/>
        <v>1.2327488351296463</v>
      </c>
      <c r="AC75" s="309">
        <f t="shared" si="15"/>
        <v>0.71451293495548096</v>
      </c>
      <c r="AD75" s="309">
        <f t="shared" si="16"/>
        <v>0.59085246485139709</v>
      </c>
      <c r="AE75" s="309">
        <f t="shared" si="17"/>
        <v>0.68260465484170774</v>
      </c>
      <c r="AF75" s="309">
        <f t="shared" si="18"/>
        <v>0.57714236749652303</v>
      </c>
      <c r="AG75" s="310">
        <f t="shared" si="19"/>
        <v>1.0709695279903502</v>
      </c>
    </row>
    <row r="76" spans="1:33" x14ac:dyDescent="0.3">
      <c r="A76" s="185" t="s">
        <v>70</v>
      </c>
      <c r="B76" s="220">
        <v>16550</v>
      </c>
      <c r="C76" s="275">
        <v>16397</v>
      </c>
      <c r="D76" s="107">
        <f>Janvier!F76+Fevrier!D76+Mars!D76+Avril!D76+Mai!D76+Juin!D76+Juillet!D76+Aout!D76+Sept!D76+Oct!D76+Nov!D76+Dec!D76</f>
        <v>23720</v>
      </c>
      <c r="E76" s="97">
        <f>+Janvier!H76+Fevrier!F76+Mars!F76+Avril!F76+Mai!F76+Juin!F76+Juillet!F76+Aout!F76+Sept!F76+Oct!F76+Nov!F76+Dec!F76</f>
        <v>0</v>
      </c>
      <c r="F76" s="107">
        <f>Janvier!I76+Fevrier!G76+Mars!G76+Avril!G76+Mai!G76+Juin!G76+Juillet!G76+Aout!G76+Sept!G76+Oct!G76+Nov!G76+Dec!G76</f>
        <v>54620</v>
      </c>
      <c r="G76" s="97">
        <f>+Janvier!K76+Fevrier!I76+Mars!I76+Avril!I76+Mai!I76+Juin!I76+Juillet!I76+Aout!I76+Sept!I76+Oct!I76+Nov!I76+Dec!I76</f>
        <v>0</v>
      </c>
      <c r="H76" s="107">
        <f>Janvier!L76+Fevrier!J76+Mars!J76+Avril!J76+Mai!J76+Juin!J76+Juillet!J76+Aout!J76+Sept!J76+Oct!J76+Nov!J76+Dec!J76</f>
        <v>44190</v>
      </c>
      <c r="I76" s="97">
        <f>Janvier!N76+Fevrier!L76+Mars!L76+Avril!L76+Mai!L76+Juin!L76+Juillet!L76+Aout!L76+Sept!L76+Oct!L76+Nov!L76+Dec!L76</f>
        <v>0</v>
      </c>
      <c r="J76" s="107">
        <f>Janvier!O76+Fevrier!M76+Mars!M76+Avril!M76+Mai!M76+Juin!M76+Juillet!M76+Aout!M76+Sept!M76+Oct!M76+Nov!M76+Dec!M76</f>
        <v>43400</v>
      </c>
      <c r="K76" s="97">
        <f>Janvier!Q76+Fevrier!O76+Mars!O76+Avril!O76+Mai!O76+Juin!O76+Juillet!O76+Aout!O76+Sept!O76+Oct!O76+Nov!O76+Dec!O76</f>
        <v>0</v>
      </c>
      <c r="L76" s="107">
        <f>Janvier!R76+Fevrier!P76+Mars!P76+Avril!P76+Mai!P76+Juin!P76+Juillet!P76+Aout!P76+Sept!P76+Oct!P76+Nov!P76+Dec!P76</f>
        <v>28370</v>
      </c>
      <c r="M76" s="97">
        <f>Janvier!T76+Fevrier!R76+Mars!R76+Avril!R76+Mai!R76+Juin!R76+Juillet!R76+Aout!R76+Sept!R76+Oct!R76+Nov!R76+Dec!R76</f>
        <v>0</v>
      </c>
      <c r="N76" s="107">
        <f>Janvier!U76+Fevrier!S76+Mars!S76+Avril!S76+Mai!S76+Juin!S76+Juillet!S76+Aout!S76+Sept!S76+Oct!S76+Nov!S76+Dec!S76</f>
        <v>14410</v>
      </c>
      <c r="O76" s="97">
        <f>Janvier!W76+Fevrier!U76+Mars!U76+Avril!U76+Mai!U76+Juin!U76+Juillet!U76+Aout!U76+Sept!U76+Oct!U76+Nov!U76+Dec!U76</f>
        <v>0</v>
      </c>
      <c r="P76" s="107">
        <f>Janvier!X76+Fevrier!V76+Mars!V76+Avril!V76+Mai!V76+Juin!V76+Juillet!V76+Aout!V76+Sept!V76+Oct!V76+Nov!V76+Dec!V76</f>
        <v>28070</v>
      </c>
      <c r="Q76" s="97">
        <f>Janvier!Z76+Fevrier!X76+Mars!X76+Avril!X76+Mai!X76+Juin!X76+Juillet!X76+Aout!X76+Sept!X76+Oct!X76+Nov!X76+Dec!X76</f>
        <v>0</v>
      </c>
      <c r="R76" s="107">
        <f>Janvier!AA76+Fevrier!Y76+Mars!Y76+Avril!Y76+Mai!Y76+Juin!Y76+Juillet!Y76+Aout!Y76+Sept!Y76+Oct!Y76+Nov!Y76+Dec!Y76</f>
        <v>16650</v>
      </c>
      <c r="S76" s="97">
        <f>Janvier!AC76+Fevrier!AA76+Mars!AA76+Avril!AA76+Mai!AA76+Juin!AA76+Juillet!AA76+Aout!AA76+Sept!AA76+Oct!AA76+Nov!AA76+Dec!AA76</f>
        <v>0</v>
      </c>
      <c r="T76" s="107">
        <f>Janvier!AD76+Fevrier!AB76+Mars!AB76+Avril!AB76+Mai!AB76+Juin!AB76+Juillet!AB76+Aout!AB76+Sept!AB76+Oct!AB76+Nov!AB76+Dec!AB76</f>
        <v>15570</v>
      </c>
      <c r="U76" s="97">
        <f>Janvier!AF76+Fevrier!AD76+Mars!AD76+Avril!AD76+Mai!AD76+Juin!AD76+Juillet!AD76+Aout!AD76+Sept!AD76+Oct!AD76+Nov!AD76+Dec!AD76</f>
        <v>29</v>
      </c>
      <c r="V76" s="107">
        <f>Janvier!AG76+Fevrier!AE76+Mars!AE76+Avril!AE76+Mai!AE76+Juin!AE76+Juillet!AE76+Aout!AE76+Sept!AE76+Oct!AE76+Nov!AE76+Dec!AE76</f>
        <v>27750</v>
      </c>
      <c r="W76" s="97">
        <f>Janvier!AI76+Fevrier!AG76+Mars!AG76+Avril!AG76+Mai!AG76+Juin!AG76+Juillet!AG76+Aout!AG76+Sept!AG76+Oct!AG76+Nov!AG76+Dec!AG76</f>
        <v>0</v>
      </c>
      <c r="X76" s="309">
        <f t="shared" si="10"/>
        <v>1.1214652804372391</v>
      </c>
      <c r="Y76" s="309">
        <f t="shared" si="11"/>
        <v>0.83360789587538364</v>
      </c>
      <c r="Z76" s="309">
        <f t="shared" si="12"/>
        <v>0.89923429558728685</v>
      </c>
      <c r="AA76" s="309">
        <f t="shared" si="13"/>
        <v>0.33974066232130745</v>
      </c>
      <c r="AB76" s="309">
        <f t="shared" si="14"/>
        <v>0.5773088247524627</v>
      </c>
      <c r="AC76" s="309">
        <f t="shared" si="15"/>
        <v>0.8796989952079296</v>
      </c>
      <c r="AD76" s="309">
        <f t="shared" si="16"/>
        <v>0.76084378578737299</v>
      </c>
      <c r="AE76" s="309">
        <f t="shared" si="17"/>
        <v>0.90260413490272606</v>
      </c>
      <c r="AF76" s="309">
        <f t="shared" si="18"/>
        <v>0.84405683966579248</v>
      </c>
      <c r="AG76" s="310">
        <f t="shared" si="19"/>
        <v>1.5043402248378768</v>
      </c>
    </row>
    <row r="77" spans="1:33" x14ac:dyDescent="0.3">
      <c r="A77" s="185" t="s">
        <v>71</v>
      </c>
      <c r="B77" s="220">
        <v>28776</v>
      </c>
      <c r="C77" s="275">
        <v>28509</v>
      </c>
      <c r="D77" s="107">
        <f>Janvier!F77+Fevrier!D77+Mars!D77+Avril!D77+Mai!D77+Juin!D77+Juillet!D77+Aout!D77+Sept!D77+Oct!D77+Nov!D77+Dec!D77</f>
        <v>33650</v>
      </c>
      <c r="E77" s="97">
        <f>+Janvier!H77+Fevrier!F77+Mars!F77+Avril!F77+Mai!F77+Juin!F77+Juillet!F77+Aout!F77+Sept!F77+Oct!F77+Nov!F77+Dec!F77</f>
        <v>0</v>
      </c>
      <c r="F77" s="107">
        <f>Janvier!I77+Fevrier!G77+Mars!G77+Avril!G77+Mai!G77+Juin!G77+Juillet!G77+Aout!G77+Sept!G77+Oct!G77+Nov!G77+Dec!G77</f>
        <v>74720</v>
      </c>
      <c r="G77" s="97">
        <f>+Janvier!K77+Fevrier!I77+Mars!I77+Avril!I77+Mai!I77+Juin!I77+Juillet!I77+Aout!I77+Sept!I77+Oct!I77+Nov!I77+Dec!I77</f>
        <v>0</v>
      </c>
      <c r="H77" s="107">
        <f>Janvier!L77+Fevrier!J77+Mars!J77+Avril!J77+Mai!J77+Juin!J77+Juillet!J77+Aout!J77+Sept!J77+Oct!J77+Nov!J77+Dec!J77</f>
        <v>54730</v>
      </c>
      <c r="I77" s="97">
        <f>Janvier!N77+Fevrier!L77+Mars!L77+Avril!L77+Mai!L77+Juin!L77+Juillet!L77+Aout!L77+Sept!L77+Oct!L77+Nov!L77+Dec!L77</f>
        <v>0</v>
      </c>
      <c r="J77" s="107">
        <f>Janvier!O77+Fevrier!M77+Mars!M77+Avril!M77+Mai!M77+Juin!M77+Juillet!M77+Aout!M77+Sept!M77+Oct!M77+Nov!M77+Dec!M77</f>
        <v>55702</v>
      </c>
      <c r="K77" s="97">
        <f>Janvier!Q77+Fevrier!O77+Mars!O77+Avril!O77+Mai!O77+Juin!O77+Juillet!O77+Aout!O77+Sept!O77+Oct!O77+Nov!O77+Dec!O77</f>
        <v>0</v>
      </c>
      <c r="L77" s="107">
        <f>Janvier!R77+Fevrier!P77+Mars!P77+Avril!P77+Mai!P77+Juin!P77+Juillet!P77+Aout!P77+Sept!P77+Oct!P77+Nov!P77+Dec!P77</f>
        <v>38490</v>
      </c>
      <c r="M77" s="97">
        <f>Janvier!T77+Fevrier!R77+Mars!R77+Avril!R77+Mai!R77+Juin!R77+Juillet!R77+Aout!R77+Sept!R77+Oct!R77+Nov!R77+Dec!R77</f>
        <v>0</v>
      </c>
      <c r="N77" s="107">
        <f>Janvier!U77+Fevrier!S77+Mars!S77+Avril!S77+Mai!S77+Juin!S77+Juillet!S77+Aout!S77+Sept!S77+Oct!S77+Nov!S77+Dec!S77</f>
        <v>18950</v>
      </c>
      <c r="O77" s="97">
        <f>Janvier!W77+Fevrier!U77+Mars!U77+Avril!U77+Mai!U77+Juin!U77+Juillet!U77+Aout!U77+Sept!U77+Oct!U77+Nov!U77+Dec!U77</f>
        <v>0</v>
      </c>
      <c r="P77" s="107">
        <f>Janvier!X77+Fevrier!V77+Mars!V77+Avril!V77+Mai!V77+Juin!V77+Juillet!V77+Aout!V77+Sept!V77+Oct!V77+Nov!V77+Dec!V77</f>
        <v>29270</v>
      </c>
      <c r="Q77" s="97">
        <f>Janvier!Z77+Fevrier!X77+Mars!X77+Avril!X77+Mai!X77+Juin!X77+Juillet!X77+Aout!X77+Sept!X77+Oct!X77+Nov!X77+Dec!X77</f>
        <v>0</v>
      </c>
      <c r="R77" s="107">
        <f>Janvier!AA77+Fevrier!Y77+Mars!Y77+Avril!Y77+Mai!Y77+Juin!Y77+Juillet!Y77+Aout!Y77+Sept!Y77+Oct!Y77+Nov!Y77+Dec!Y77</f>
        <v>22010</v>
      </c>
      <c r="S77" s="97">
        <f>Janvier!AC77+Fevrier!AA77+Mars!AA77+Avril!AA77+Mai!AA77+Juin!AA77+Juillet!AA77+Aout!AA77+Sept!AA77+Oct!AA77+Nov!AA77+Dec!AA77</f>
        <v>0</v>
      </c>
      <c r="T77" s="107">
        <f>Janvier!AD77+Fevrier!AB77+Mars!AB77+Avril!AB77+Mai!AB77+Juin!AB77+Juillet!AB77+Aout!AB77+Sept!AB77+Oct!AB77+Nov!AB77+Dec!AB77</f>
        <v>17340</v>
      </c>
      <c r="U77" s="97">
        <f>Janvier!AF77+Fevrier!AD77+Mars!AD77+Avril!AD77+Mai!AD77+Juin!AD77+Juillet!AD77+Aout!AD77+Sept!AD77+Oct!AD77+Nov!AD77+Dec!AD77</f>
        <v>20</v>
      </c>
      <c r="V77" s="107">
        <f>Janvier!AG77+Fevrier!AE77+Mars!AE77+Avril!AE77+Mai!AE77+Juin!AE77+Juillet!AE77+Aout!AE77+Sept!AE77+Oct!AE77+Nov!AE77+Dec!AE77</f>
        <v>36510</v>
      </c>
      <c r="W77" s="97">
        <f>Janvier!AI77+Fevrier!AG77+Mars!AG77+Avril!AG77+Mai!AG77+Juin!AG77+Juillet!AG77+Aout!AG77+Sept!AG77+Oct!AG77+Nov!AG77+Dec!AG77</f>
        <v>0</v>
      </c>
      <c r="X77" s="309">
        <f t="shared" si="10"/>
        <v>0.91500567983317682</v>
      </c>
      <c r="Y77" s="309">
        <f t="shared" si="11"/>
        <v>0.6558875687922654</v>
      </c>
      <c r="Z77" s="309">
        <f t="shared" si="12"/>
        <v>0.64055543611707155</v>
      </c>
      <c r="AA77" s="309">
        <f t="shared" si="13"/>
        <v>0.32784451057882286</v>
      </c>
      <c r="AB77" s="309">
        <f t="shared" si="14"/>
        <v>0.45048380661695747</v>
      </c>
      <c r="AC77" s="309">
        <f t="shared" si="15"/>
        <v>0.66536774243112584</v>
      </c>
      <c r="AD77" s="309">
        <f t="shared" si="16"/>
        <v>0.45630814440663958</v>
      </c>
      <c r="AE77" s="309">
        <f t="shared" si="17"/>
        <v>0.68625502278033046</v>
      </c>
      <c r="AF77" s="309">
        <f t="shared" si="18"/>
        <v>0.54064798250844759</v>
      </c>
      <c r="AG77" s="310">
        <f t="shared" si="19"/>
        <v>1.1383539700913161</v>
      </c>
    </row>
    <row r="78" spans="1:33" x14ac:dyDescent="0.3">
      <c r="A78" s="185" t="s">
        <v>72</v>
      </c>
      <c r="B78" s="220">
        <v>2490</v>
      </c>
      <c r="C78" s="275">
        <v>2467</v>
      </c>
      <c r="D78" s="107">
        <f>Janvier!F78+Fevrier!D78+Mars!D78+Avril!D78+Mai!D78+Juin!D78+Juillet!D78+Aout!D78+Sept!D78+Oct!D78+Nov!D78+Dec!D78</f>
        <v>3960</v>
      </c>
      <c r="E78" s="97">
        <f>+Janvier!H78+Fevrier!F78+Mars!F78+Avril!F78+Mai!F78+Juin!F78+Juillet!F78+Aout!F78+Sept!F78+Oct!F78+Nov!F78+Dec!F78</f>
        <v>0</v>
      </c>
      <c r="F78" s="107">
        <f>Janvier!I78+Fevrier!G78+Mars!G78+Avril!G78+Mai!G78+Juin!G78+Juillet!G78+Aout!G78+Sept!G78+Oct!G78+Nov!G78+Dec!G78</f>
        <v>9600</v>
      </c>
      <c r="G78" s="97">
        <f>+Janvier!K78+Fevrier!I78+Mars!I78+Avril!I78+Mai!I78+Juin!I78+Juillet!I78+Aout!I78+Sept!I78+Oct!I78+Nov!I78+Dec!I78</f>
        <v>0</v>
      </c>
      <c r="H78" s="107">
        <f>Janvier!L78+Fevrier!J78+Mars!J78+Avril!J78+Mai!J78+Juin!J78+Juillet!J78+Aout!J78+Sept!J78+Oct!J78+Nov!J78+Dec!J78</f>
        <v>7260</v>
      </c>
      <c r="I78" s="97">
        <f>Janvier!N78+Fevrier!L78+Mars!L78+Avril!L78+Mai!L78+Juin!L78+Juillet!L78+Aout!L78+Sept!L78+Oct!L78+Nov!L78+Dec!L78</f>
        <v>0</v>
      </c>
      <c r="J78" s="107">
        <f>Janvier!O78+Fevrier!M78+Mars!M78+Avril!M78+Mai!M78+Juin!M78+Juillet!M78+Aout!M78+Sept!M78+Oct!M78+Nov!M78+Dec!M78</f>
        <v>7004</v>
      </c>
      <c r="K78" s="97">
        <f>Janvier!Q78+Fevrier!O78+Mars!O78+Avril!O78+Mai!O78+Juin!O78+Juillet!O78+Aout!O78+Sept!O78+Oct!O78+Nov!O78+Dec!O78</f>
        <v>0</v>
      </c>
      <c r="L78" s="107">
        <f>Janvier!R78+Fevrier!P78+Mars!P78+Avril!P78+Mai!P78+Juin!P78+Juillet!P78+Aout!P78+Sept!P78+Oct!P78+Nov!P78+Dec!P78</f>
        <v>3541</v>
      </c>
      <c r="M78" s="97">
        <f>Janvier!T78+Fevrier!R78+Mars!R78+Avril!R78+Mai!R78+Juin!R78+Juillet!R78+Aout!R78+Sept!R78+Oct!R78+Nov!R78+Dec!R78</f>
        <v>0</v>
      </c>
      <c r="N78" s="107">
        <f>Janvier!U78+Fevrier!S78+Mars!S78+Avril!S78+Mai!S78+Juin!S78+Juillet!S78+Aout!S78+Sept!S78+Oct!S78+Nov!S78+Dec!S78</f>
        <v>2060</v>
      </c>
      <c r="O78" s="97">
        <f>Janvier!W78+Fevrier!U78+Mars!U78+Avril!U78+Mai!U78+Juin!U78+Juillet!U78+Aout!U78+Sept!U78+Oct!U78+Nov!U78+Dec!U78</f>
        <v>0</v>
      </c>
      <c r="P78" s="107">
        <f>Janvier!X78+Fevrier!V78+Mars!V78+Avril!V78+Mai!V78+Juin!V78+Juillet!V78+Aout!V78+Sept!V78+Oct!V78+Nov!V78+Dec!V78</f>
        <v>4080</v>
      </c>
      <c r="Q78" s="97">
        <f>Janvier!Z78+Fevrier!X78+Mars!X78+Avril!X78+Mai!X78+Juin!X78+Juillet!X78+Aout!X78+Sept!X78+Oct!X78+Nov!X78+Dec!X78</f>
        <v>0</v>
      </c>
      <c r="R78" s="107">
        <f>Janvier!AA78+Fevrier!Y78+Mars!Y78+Avril!Y78+Mai!Y78+Juin!Y78+Juillet!Y78+Aout!Y78+Sept!Y78+Oct!Y78+Nov!Y78+Dec!Y78</f>
        <v>2980</v>
      </c>
      <c r="S78" s="97">
        <f>Janvier!AC78+Fevrier!AA78+Mars!AA78+Avril!AA78+Mai!AA78+Juin!AA78+Juillet!AA78+Aout!AA78+Sept!AA78+Oct!AA78+Nov!AA78+Dec!AA78</f>
        <v>0</v>
      </c>
      <c r="T78" s="107">
        <f>Janvier!AD78+Fevrier!AB78+Mars!AB78+Avril!AB78+Mai!AB78+Juin!AB78+Juillet!AB78+Aout!AB78+Sept!AB78+Oct!AB78+Nov!AB78+Dec!AB78</f>
        <v>2460</v>
      </c>
      <c r="U78" s="97">
        <f>Janvier!AF78+Fevrier!AD78+Mars!AD78+Avril!AD78+Mai!AD78+Juin!AD78+Juillet!AD78+Aout!AD78+Sept!AD78+Oct!AD78+Nov!AD78+Dec!AD78</f>
        <v>29</v>
      </c>
      <c r="V78" s="107">
        <f>Janvier!AG78+Fevrier!AE78+Mars!AE78+Avril!AE78+Mai!AE78+Juin!AE78+Juillet!AE78+Aout!AE78+Sept!AE78+Oct!AE78+Nov!AE78+Dec!AE78</f>
        <v>3310</v>
      </c>
      <c r="W78" s="97">
        <f>Janvier!AI78+Fevrier!AG78+Mars!AG78+Avril!AG78+Mai!AG78+Juin!AG78+Juillet!AG78+Aout!AG78+Sept!AG78+Oct!AG78+Nov!AG78+Dec!AG78</f>
        <v>0</v>
      </c>
      <c r="X78" s="309">
        <f t="shared" si="10"/>
        <v>1.2444142768256123</v>
      </c>
      <c r="Y78" s="309">
        <f t="shared" si="11"/>
        <v>0.9738153232275647</v>
      </c>
      <c r="Z78" s="309">
        <f t="shared" si="12"/>
        <v>0.98193045092112774</v>
      </c>
      <c r="AA78" s="309">
        <f t="shared" si="13"/>
        <v>0.34586271022593118</v>
      </c>
      <c r="AB78" s="309">
        <f t="shared" si="14"/>
        <v>0.47892778604844533</v>
      </c>
      <c r="AC78" s="309">
        <f t="shared" si="15"/>
        <v>0.83585815243699302</v>
      </c>
      <c r="AD78" s="309">
        <f t="shared" si="16"/>
        <v>0.73503580597216589</v>
      </c>
      <c r="AE78" s="309">
        <f t="shared" si="17"/>
        <v>1.073728775390713</v>
      </c>
      <c r="AF78" s="309">
        <f t="shared" si="18"/>
        <v>0.8863667072017295</v>
      </c>
      <c r="AG78" s="310">
        <f t="shared" si="19"/>
        <v>1.1926316263567986</v>
      </c>
    </row>
    <row r="79" spans="1:33" x14ac:dyDescent="0.3">
      <c r="A79" s="185" t="s">
        <v>73</v>
      </c>
      <c r="B79" s="307">
        <v>21654</v>
      </c>
      <c r="C79" s="308">
        <v>21454</v>
      </c>
      <c r="D79" s="249">
        <f>Janvier!F79+Fevrier!D79+Mars!D79+Avril!D79+Mai!D79+Juin!D79+Juillet!D79+Aout!D79+Sept!D79+Oct!D79+Nov!D79+Dec!D79</f>
        <v>27420</v>
      </c>
      <c r="E79" s="261">
        <f>+Janvier!H79+Fevrier!F79+Mars!F79+Avril!F79+Mai!F79+Juin!F79+Juillet!F79+Aout!F79+Sept!F79+Oct!F79+Nov!F79+Dec!F79</f>
        <v>0</v>
      </c>
      <c r="F79" s="249">
        <f>Janvier!I79+Fevrier!G79+Mars!G79+Avril!G79+Mai!G79+Juin!G79+Juillet!G79+Aout!G79+Sept!G79+Oct!G79+Nov!G79+Dec!G79</f>
        <v>63330</v>
      </c>
      <c r="G79" s="261">
        <f>+Janvier!K79+Fevrier!I79+Mars!I79+Avril!I79+Mai!I79+Juin!I79+Juillet!I79+Aout!I79+Sept!I79+Oct!I79+Nov!I79+Dec!I79</f>
        <v>0</v>
      </c>
      <c r="H79" s="249">
        <f>Janvier!L79+Fevrier!J79+Mars!J79+Avril!J79+Mai!J79+Juin!J79+Juillet!J79+Aout!J79+Sept!J79+Oct!J79+Nov!J79+Dec!J79</f>
        <v>51980</v>
      </c>
      <c r="I79" s="261">
        <f>Janvier!N79+Fevrier!L79+Mars!L79+Avril!L79+Mai!L79+Juin!L79+Juillet!L79+Aout!L79+Sept!L79+Oct!L79+Nov!L79+Dec!L79</f>
        <v>0</v>
      </c>
      <c r="J79" s="249">
        <f>Janvier!O79+Fevrier!M79+Mars!M79+Avril!M79+Mai!M79+Juin!M79+Juillet!M79+Aout!M79+Sept!M79+Oct!M79+Nov!M79+Dec!M79</f>
        <v>47416</v>
      </c>
      <c r="K79" s="261">
        <f>Janvier!Q79+Fevrier!O79+Mars!O79+Avril!O79+Mai!O79+Juin!O79+Juillet!O79+Aout!O79+Sept!O79+Oct!O79+Nov!O79+Dec!O79</f>
        <v>0</v>
      </c>
      <c r="L79" s="249">
        <f>Janvier!R79+Fevrier!P79+Mars!P79+Avril!P79+Mai!P79+Juin!P79+Juillet!P79+Aout!P79+Sept!P79+Oct!P79+Nov!P79+Dec!P79</f>
        <v>30293</v>
      </c>
      <c r="M79" s="261">
        <f>Janvier!T79+Fevrier!R79+Mars!R79+Avril!R79+Mai!R79+Juin!R79+Juillet!R79+Aout!R79+Sept!R79+Oct!R79+Nov!R79+Dec!R79</f>
        <v>0</v>
      </c>
      <c r="N79" s="249">
        <f>Janvier!U79+Fevrier!S79+Mars!S79+Avril!S79+Mai!S79+Juin!S79+Juillet!S79+Aout!S79+Sept!S79+Oct!S79+Nov!S79+Dec!S79</f>
        <v>15130</v>
      </c>
      <c r="O79" s="261">
        <f>Janvier!W79+Fevrier!U79+Mars!U79+Avril!U79+Mai!U79+Juin!U79+Juillet!U79+Aout!U79+Sept!U79+Oct!U79+Nov!U79+Dec!U79</f>
        <v>0</v>
      </c>
      <c r="P79" s="249">
        <f>Janvier!X79+Fevrier!V79+Mars!V79+Avril!V79+Mai!V79+Juin!V79+Juillet!V79+Aout!V79+Sept!V79+Oct!V79+Nov!V79+Dec!V79</f>
        <v>30200</v>
      </c>
      <c r="Q79" s="261">
        <f>Janvier!Z79+Fevrier!X79+Mars!X79+Avril!X79+Mai!X79+Juin!X79+Juillet!X79+Aout!X79+Sept!X79+Oct!X79+Nov!X79+Dec!X79</f>
        <v>0</v>
      </c>
      <c r="R79" s="249">
        <f>Janvier!AA79+Fevrier!Y79+Mars!Y79+Avril!Y79+Mai!Y79+Juin!Y79+Juillet!Y79+Aout!Y79+Sept!Y79+Oct!Y79+Nov!Y79+Dec!Y79</f>
        <v>17300</v>
      </c>
      <c r="S79" s="261">
        <f>Janvier!AC79+Fevrier!AA79+Mars!AA79+Avril!AA79+Mai!AA79+Juin!AA79+Juillet!AA79+Aout!AA79+Sept!AA79+Oct!AA79+Nov!AA79+Dec!AA79</f>
        <v>15</v>
      </c>
      <c r="T79" s="249">
        <f>Janvier!AD79+Fevrier!AB79+Mars!AB79+Avril!AB79+Mai!AB79+Juin!AB79+Juillet!AB79+Aout!AB79+Sept!AB79+Oct!AB79+Nov!AB79+Dec!AB79</f>
        <v>14450</v>
      </c>
      <c r="U79" s="261">
        <f>Janvier!AF79+Fevrier!AD79+Mars!AD79+Avril!AD79+Mai!AD79+Juin!AD79+Juillet!AD79+Aout!AD79+Sept!AD79+Oct!AD79+Nov!AD79+Dec!AD79</f>
        <v>29</v>
      </c>
      <c r="V79" s="249">
        <f>Janvier!AG79+Fevrier!AE79+Mars!AE79+Avril!AE79+Mai!AE79+Juin!AE79+Juillet!AE79+Aout!AE79+Sept!AE79+Oct!AE79+Nov!AE79+Dec!AE79</f>
        <v>31370</v>
      </c>
      <c r="W79" s="261">
        <f>Janvier!AI79+Fevrier!AG79+Mars!AG79+Avril!AG79+Mai!AG79+Juin!AG79+Juillet!AG79+Aout!AG79+Sept!AG79+Oct!AG79+Nov!AG79+Dec!AG79</f>
        <v>0</v>
      </c>
      <c r="X79" s="309">
        <f t="shared" si="10"/>
        <v>0.99082844098239875</v>
      </c>
      <c r="Y79" s="309">
        <f t="shared" si="11"/>
        <v>0.73871298351581727</v>
      </c>
      <c r="Z79" s="309">
        <f t="shared" si="12"/>
        <v>0.808427830583761</v>
      </c>
      <c r="AA79" s="309">
        <f t="shared" si="13"/>
        <v>0.36578392688847661</v>
      </c>
      <c r="AB79" s="309">
        <f t="shared" si="14"/>
        <v>0.47113705794293714</v>
      </c>
      <c r="AC79" s="309">
        <f t="shared" si="15"/>
        <v>0.70593572970752028</v>
      </c>
      <c r="AD79" s="309">
        <f t="shared" si="16"/>
        <v>0.62562795852625241</v>
      </c>
      <c r="AE79" s="309">
        <f t="shared" si="17"/>
        <v>0.71677905182146806</v>
      </c>
      <c r="AF79" s="309">
        <f t="shared" si="18"/>
        <v>0.59869695368902964</v>
      </c>
      <c r="AG79" s="310">
        <f t="shared" si="19"/>
        <v>1.299731725759506</v>
      </c>
    </row>
    <row r="80" spans="1:33" ht="15" thickBot="1" x14ac:dyDescent="0.35">
      <c r="A80" s="279" t="s">
        <v>90</v>
      </c>
      <c r="B80" s="296">
        <v>46364</v>
      </c>
      <c r="C80" s="297">
        <v>45605</v>
      </c>
      <c r="D80" s="305">
        <f>Janvier!F80+Fevrier!D80+Mars!D80+Avril!D80+Mai!D80+Juin!D80+Juillet!D80+Aout!D80+Sept!D80+Oct!D80+Nov!D80+Dec!D80</f>
        <v>54000</v>
      </c>
      <c r="E80" s="293">
        <f>+Janvier!H80+Fevrier!F80+Mars!F80+Avril!F80+Mai!F80+Juin!F80+Juillet!F80+Aout!F80+Sept!F80+Oct!F80+Nov!F80+Dec!F80</f>
        <v>0</v>
      </c>
      <c r="F80" s="305">
        <f>Janvier!I80+Fevrier!G80+Mars!G80+Avril!G80+Mai!G80+Juin!G80+Juillet!G80+Aout!G80+Sept!G80+Oct!G80+Nov!G80+Dec!G80</f>
        <v>174320</v>
      </c>
      <c r="G80" s="293">
        <f>+Janvier!K80+Fevrier!I80+Mars!I80+Avril!I80+Mai!I80+Juin!I80+Juillet!I80+Aout!I80+Sept!I80+Oct!I80+Nov!I80+Dec!I80</f>
        <v>0</v>
      </c>
      <c r="H80" s="305">
        <f>Janvier!L80+Fevrier!J80+Mars!J80+Avril!J80+Mai!J80+Juin!J80+Juillet!J80+Aout!J80+Sept!J80+Oct!J80+Nov!J80+Dec!J80</f>
        <v>120300</v>
      </c>
      <c r="I80" s="293">
        <f>Janvier!N80+Fevrier!L80+Mars!L80+Avril!L80+Mai!L80+Juin!L80+Juillet!L80+Aout!L80+Sept!L80+Oct!L80+Nov!L80+Dec!L80</f>
        <v>0</v>
      </c>
      <c r="J80" s="305">
        <f>Janvier!O80+Fevrier!M80+Mars!M80+Avril!M80+Mai!M80+Juin!M80+Juillet!M80+Aout!M80+Sept!M80+Oct!M80+Nov!M80+Dec!M80</f>
        <v>112600</v>
      </c>
      <c r="K80" s="293">
        <f>Janvier!Q80+Fevrier!O80+Mars!O80+Avril!O80+Mai!O80+Juin!O80+Juillet!O80+Aout!O80+Sept!O80+Oct!O80+Nov!O80+Dec!O80</f>
        <v>0</v>
      </c>
      <c r="L80" s="305">
        <f>Janvier!R80+Fevrier!P80+Mars!P80+Avril!P80+Mai!P80+Juin!P80+Juillet!P80+Aout!P80+Sept!P80+Oct!P80+Nov!P80+Dec!P80</f>
        <v>78750</v>
      </c>
      <c r="M80" s="293">
        <f>Janvier!T80+Fevrier!R80+Mars!R80+Avril!R80+Mai!R80+Juin!R80+Juillet!R80+Aout!R80+Sept!R80+Oct!R80+Nov!R80+Dec!R80</f>
        <v>0</v>
      </c>
      <c r="N80" s="305">
        <f>Janvier!U80+Fevrier!S80+Mars!S80+Avril!S80+Mai!S80+Juin!S80+Juillet!S80+Aout!S80+Sept!S80+Oct!S80+Nov!S80+Dec!S80</f>
        <v>37800</v>
      </c>
      <c r="O80" s="293">
        <f>Janvier!W80+Fevrier!U80+Mars!U80+Avril!U80+Mai!U80+Juin!U80+Juillet!U80+Aout!U80+Sept!U80+Oct!U80+Nov!U80+Dec!U80</f>
        <v>0</v>
      </c>
      <c r="P80" s="305">
        <f>Janvier!X80+Fevrier!V80+Mars!V80+Avril!V80+Mai!V80+Juin!V80+Juillet!V80+Aout!V80+Sept!V80+Oct!V80+Nov!V80+Dec!V80</f>
        <v>52500</v>
      </c>
      <c r="Q80" s="293">
        <f>Janvier!Z80+Fevrier!X80+Mars!X80+Avril!X80+Mai!X80+Juin!X80+Juillet!X80+Aout!X80+Sept!X80+Oct!X80+Nov!X80+Dec!X80</f>
        <v>0</v>
      </c>
      <c r="R80" s="305">
        <f>Janvier!AA80+Fevrier!Y80+Mars!Y80+Avril!Y80+Mai!Y80+Juin!Y80+Juillet!Y80+Aout!Y80+Sept!Y80+Oct!Y80+Nov!Y80+Dec!Y80</f>
        <v>40500</v>
      </c>
      <c r="S80" s="293">
        <f>Janvier!AC80+Fevrier!AA80+Mars!AA80+Avril!AA80+Mai!AA80+Juin!AA80+Juillet!AA80+Aout!AA80+Sept!AA80+Oct!AA80+Nov!AA80+Dec!AA80</f>
        <v>0</v>
      </c>
      <c r="T80" s="305">
        <f>Janvier!AD80+Fevrier!AB80+Mars!AB80+Avril!AB80+Mai!AB80+Juin!AB80+Juillet!AB80+Aout!AB80+Sept!AB80+Oct!AB80+Nov!AB80+Dec!AB80</f>
        <v>58000</v>
      </c>
      <c r="U80" s="293">
        <f>Janvier!AF80+Fevrier!AD80+Mars!AD80+Avril!AD80+Mai!AD80+Juin!AD80+Juillet!AD80+Aout!AD80+Sept!AD80+Oct!AD80+Nov!AD80+Dec!AD80</f>
        <v>0</v>
      </c>
      <c r="V80" s="305">
        <f>Janvier!AG80+Fevrier!AE80+Mars!AE80+Avril!AE80+Mai!AE80+Juin!AE80+Juillet!AE80+Aout!AE80+Sept!AE80+Oct!AE80+Nov!AE80+Dec!AE80</f>
        <v>45800</v>
      </c>
      <c r="W80" s="293">
        <f>Janvier!AI80+Fevrier!AG80+Mars!AG80+Avril!AG80+Mai!AG80+Juin!AG80+Juillet!AG80+Aout!AG80+Sept!AG80+Oct!AG80+Nov!AG80+Dec!AG80</f>
        <v>0</v>
      </c>
      <c r="X80" s="309">
        <f t="shared" si="10"/>
        <v>0.91134330788457785</v>
      </c>
      <c r="Y80" s="309">
        <f t="shared" si="11"/>
        <v>0.9565535275435505</v>
      </c>
      <c r="Z80" s="309">
        <f t="shared" si="12"/>
        <v>0.8801697213055617</v>
      </c>
      <c r="AA80" s="309">
        <f t="shared" si="13"/>
        <v>0.35648437069396216</v>
      </c>
      <c r="AB80" s="309">
        <f t="shared" si="14"/>
        <v>0.57617095222620929</v>
      </c>
      <c r="AC80" s="309">
        <f t="shared" si="15"/>
        <v>0.8296861712057414</v>
      </c>
      <c r="AD80" s="309">
        <f t="shared" si="16"/>
        <v>0.51163980557687383</v>
      </c>
      <c r="AE80" s="309">
        <f t="shared" si="17"/>
        <v>0.7893871286043197</v>
      </c>
      <c r="AF80" s="309">
        <f t="shared" si="18"/>
        <v>1.1304803323222357</v>
      </c>
      <c r="AG80" s="310">
        <f t="shared" si="19"/>
        <v>0.89268964173031706</v>
      </c>
    </row>
    <row r="81" spans="1:33" x14ac:dyDescent="0.3">
      <c r="A81" s="184" t="s">
        <v>74</v>
      </c>
      <c r="B81" s="277">
        <v>9483</v>
      </c>
      <c r="C81" s="278">
        <v>9328</v>
      </c>
      <c r="D81" s="287">
        <f>Janvier!F81+Fevrier!D81+Mars!D81+Avril!D81+Mai!D81+Juin!D81+Juillet!D81+Aout!D81+Sept!D81+Oct!D81+Nov!D81+Dec!D81</f>
        <v>9040</v>
      </c>
      <c r="E81" s="288">
        <f>+Janvier!H81+Fevrier!F81+Mars!F81+Avril!F81+Mai!F81+Juin!F81+Juillet!F81+Aout!F81+Sept!F81+Oct!F81+Nov!F81+Dec!F81</f>
        <v>0</v>
      </c>
      <c r="F81" s="287">
        <f>Janvier!I81+Fevrier!G81+Mars!G81+Avril!G81+Mai!G81+Juin!G81+Juillet!G81+Aout!G81+Sept!G81+Oct!G81+Nov!G81+Dec!G81</f>
        <v>30320</v>
      </c>
      <c r="G81" s="288">
        <f>+Janvier!K81+Fevrier!I81+Mars!I81+Avril!I81+Mai!I81+Juin!I81+Juillet!I81+Aout!I81+Sept!I81+Oct!I81+Nov!I81+Dec!I81</f>
        <v>0</v>
      </c>
      <c r="H81" s="287">
        <f>Janvier!L81+Fevrier!J81+Mars!J81+Avril!J81+Mai!J81+Juin!J81+Juillet!J81+Aout!J81+Sept!J81+Oct!J81+Nov!J81+Dec!J81</f>
        <v>20300</v>
      </c>
      <c r="I81" s="288">
        <f>Janvier!N81+Fevrier!L81+Mars!L81+Avril!L81+Mai!L81+Juin!L81+Juillet!L81+Aout!L81+Sept!L81+Oct!L81+Nov!L81+Dec!L81</f>
        <v>0</v>
      </c>
      <c r="J81" s="287">
        <f>Janvier!O81+Fevrier!M81+Mars!M81+Avril!M81+Mai!M81+Juin!M81+Juillet!M81+Aout!M81+Sept!M81+Oct!M81+Nov!M81+Dec!M81</f>
        <v>18000</v>
      </c>
      <c r="K81" s="288">
        <f>Janvier!Q81+Fevrier!O81+Mars!O81+Avril!O81+Mai!O81+Juin!O81+Juillet!O81+Aout!O81+Sept!O81+Oct!O81+Nov!O81+Dec!O81</f>
        <v>0</v>
      </c>
      <c r="L81" s="287">
        <f>Janvier!R81+Fevrier!P81+Mars!P81+Avril!P81+Mai!P81+Juin!P81+Juillet!P81+Aout!P81+Sept!P81+Oct!P81+Nov!P81+Dec!P81</f>
        <v>13200</v>
      </c>
      <c r="M81" s="288">
        <f>Janvier!T81+Fevrier!R81+Mars!R81+Avril!R81+Mai!R81+Juin!R81+Juillet!R81+Aout!R81+Sept!R81+Oct!R81+Nov!R81+Dec!R81</f>
        <v>0</v>
      </c>
      <c r="N81" s="287">
        <f>Janvier!U81+Fevrier!S81+Mars!S81+Avril!S81+Mai!S81+Juin!S81+Juillet!S81+Aout!S81+Sept!S81+Oct!S81+Nov!S81+Dec!S81</f>
        <v>6550</v>
      </c>
      <c r="O81" s="288">
        <f>Janvier!W81+Fevrier!U81+Mars!U81+Avril!U81+Mai!U81+Juin!U81+Juillet!U81+Aout!U81+Sept!U81+Oct!U81+Nov!U81+Dec!U81</f>
        <v>0</v>
      </c>
      <c r="P81" s="287">
        <f>Janvier!X81+Fevrier!V81+Mars!V81+Avril!V81+Mai!V81+Juin!V81+Juillet!V81+Aout!V81+Sept!V81+Oct!V81+Nov!V81+Dec!V81</f>
        <v>9700</v>
      </c>
      <c r="Q81" s="288">
        <f>Janvier!Z81+Fevrier!X81+Mars!X81+Avril!X81+Mai!X81+Juin!X81+Juillet!X81+Aout!X81+Sept!X81+Oct!X81+Nov!X81+Dec!X81</f>
        <v>0</v>
      </c>
      <c r="R81" s="287">
        <f>Janvier!AA81+Fevrier!Y81+Mars!Y81+Avril!Y81+Mai!Y81+Juin!Y81+Juillet!Y81+Aout!Y81+Sept!Y81+Oct!Y81+Nov!Y81+Dec!Y81</f>
        <v>6600</v>
      </c>
      <c r="S81" s="288">
        <f>Janvier!AC81+Fevrier!AA81+Mars!AA81+Avril!AA81+Mai!AA81+Juin!AA81+Juillet!AA81+Aout!AA81+Sept!AA81+Oct!AA81+Nov!AA81+Dec!AA81</f>
        <v>0</v>
      </c>
      <c r="T81" s="287">
        <f>Janvier!AD81+Fevrier!AB81+Mars!AB81+Avril!AB81+Mai!AB81+Juin!AB81+Juillet!AB81+Aout!AB81+Sept!AB81+Oct!AB81+Nov!AB81+Dec!AB81</f>
        <v>7900</v>
      </c>
      <c r="U81" s="288">
        <f>Janvier!AF81+Fevrier!AD81+Mars!AD81+Avril!AD81+Mai!AD81+Juin!AD81+Juillet!AD81+Aout!AD81+Sept!AD81+Oct!AD81+Nov!AD81+Dec!AD81</f>
        <v>0</v>
      </c>
      <c r="V81" s="287">
        <f>Janvier!AG81+Fevrier!AE81+Mars!AE81+Avril!AE81+Mai!AE81+Juin!AE81+Juillet!AE81+Aout!AE81+Sept!AE81+Oct!AE81+Nov!AE81+Dec!AE81</f>
        <v>9500</v>
      </c>
      <c r="W81" s="288">
        <f>Janvier!AI81+Fevrier!AG81+Mars!AG81+Avril!AG81+Mai!AG81+Juin!AG81+Juillet!AG81+Aout!AG81+Sept!AG81+Oct!AG81+Nov!AG81+Dec!AG81</f>
        <v>0</v>
      </c>
      <c r="X81" s="309">
        <f t="shared" si="10"/>
        <v>0.74591926876147852</v>
      </c>
      <c r="Y81" s="309">
        <f t="shared" si="11"/>
        <v>0.81342062474137922</v>
      </c>
      <c r="Z81" s="309">
        <f t="shared" si="12"/>
        <v>0.72614066324758142</v>
      </c>
      <c r="AA81" s="309">
        <f t="shared" si="13"/>
        <v>0.37630222815407993</v>
      </c>
      <c r="AB81" s="309">
        <f t="shared" si="14"/>
        <v>0.47217028349103818</v>
      </c>
      <c r="AC81" s="309">
        <f t="shared" si="15"/>
        <v>0.70288985383324987</v>
      </c>
      <c r="AD81" s="309">
        <f t="shared" si="16"/>
        <v>0.4621688583952735</v>
      </c>
      <c r="AE81" s="309">
        <f t="shared" si="17"/>
        <v>0.62893081761006286</v>
      </c>
      <c r="AF81" s="309">
        <f t="shared" si="18"/>
        <v>0.75281113016962076</v>
      </c>
      <c r="AG81" s="310">
        <f t="shared" si="19"/>
        <v>0.90527920716599963</v>
      </c>
    </row>
    <row r="82" spans="1:33" x14ac:dyDescent="0.3">
      <c r="A82" s="184" t="s">
        <v>75</v>
      </c>
      <c r="B82" s="212">
        <v>11148</v>
      </c>
      <c r="C82" s="273">
        <v>10965</v>
      </c>
      <c r="D82" s="95">
        <f>Janvier!F82+Fevrier!D82+Mars!D82+Avril!D82+Mai!D82+Juin!D82+Juillet!D82+Aout!D82+Sept!D82+Oct!D82+Nov!D82+Dec!D82</f>
        <v>9500</v>
      </c>
      <c r="E82" s="97">
        <f>+Janvier!H82+Fevrier!F82+Mars!F82+Avril!F82+Mai!F82+Juin!F82+Juillet!F82+Aout!F82+Sept!F82+Oct!F82+Nov!F82+Dec!F82</f>
        <v>0</v>
      </c>
      <c r="F82" s="95">
        <f>Janvier!I82+Fevrier!G82+Mars!G82+Avril!G82+Mai!G82+Juin!G82+Juillet!G82+Aout!G82+Sept!G82+Oct!G82+Nov!G82+Dec!G82</f>
        <v>34300</v>
      </c>
      <c r="G82" s="97">
        <f>+Janvier!K82+Fevrier!I82+Mars!I82+Avril!I82+Mai!I82+Juin!I82+Juillet!I82+Aout!I82+Sept!I82+Oct!I82+Nov!I82+Dec!I82</f>
        <v>0</v>
      </c>
      <c r="H82" s="95">
        <f>Janvier!L82+Fevrier!J82+Mars!J82+Avril!J82+Mai!J82+Juin!J82+Juillet!J82+Aout!J82+Sept!J82+Oct!J82+Nov!J82+Dec!J82</f>
        <v>24800</v>
      </c>
      <c r="I82" s="97">
        <f>Janvier!N82+Fevrier!L82+Mars!L82+Avril!L82+Mai!L82+Juin!L82+Juillet!L82+Aout!L82+Sept!L82+Oct!L82+Nov!L82+Dec!L82</f>
        <v>0</v>
      </c>
      <c r="J82" s="95">
        <f>Janvier!O82+Fevrier!M82+Mars!M82+Avril!M82+Mai!M82+Juin!M82+Juillet!M82+Aout!M82+Sept!M82+Oct!M82+Nov!M82+Dec!M82</f>
        <v>22600</v>
      </c>
      <c r="K82" s="97">
        <f>Janvier!Q82+Fevrier!O82+Mars!O82+Avril!O82+Mai!O82+Juin!O82+Juillet!O82+Aout!O82+Sept!O82+Oct!O82+Nov!O82+Dec!O82</f>
        <v>0</v>
      </c>
      <c r="L82" s="95">
        <f>Janvier!R82+Fevrier!P82+Mars!P82+Avril!P82+Mai!P82+Juin!P82+Juillet!P82+Aout!P82+Sept!P82+Oct!P82+Nov!P82+Dec!P82</f>
        <v>16400</v>
      </c>
      <c r="M82" s="97">
        <f>Janvier!T82+Fevrier!R82+Mars!R82+Avril!R82+Mai!R82+Juin!R82+Juillet!R82+Aout!R82+Sept!R82+Oct!R82+Nov!R82+Dec!R82</f>
        <v>0</v>
      </c>
      <c r="N82" s="95">
        <f>Janvier!U82+Fevrier!S82+Mars!S82+Avril!S82+Mai!S82+Juin!S82+Juillet!S82+Aout!S82+Sept!S82+Oct!S82+Nov!S82+Dec!S82</f>
        <v>7950</v>
      </c>
      <c r="O82" s="97">
        <f>Janvier!W82+Fevrier!U82+Mars!U82+Avril!U82+Mai!U82+Juin!U82+Juillet!U82+Aout!U82+Sept!U82+Oct!U82+Nov!U82+Dec!U82</f>
        <v>0</v>
      </c>
      <c r="P82" s="95">
        <f>Janvier!X82+Fevrier!V82+Mars!V82+Avril!V82+Mai!V82+Juin!V82+Juillet!V82+Aout!V82+Sept!V82+Oct!V82+Nov!V82+Dec!V82</f>
        <v>10700</v>
      </c>
      <c r="Q82" s="97">
        <f>Janvier!Z82+Fevrier!X82+Mars!X82+Avril!X82+Mai!X82+Juin!X82+Juillet!X82+Aout!X82+Sept!X82+Oct!X82+Nov!X82+Dec!X82</f>
        <v>0</v>
      </c>
      <c r="R82" s="95">
        <f>Janvier!AA82+Fevrier!Y82+Mars!Y82+Avril!Y82+Mai!Y82+Juin!Y82+Juillet!Y82+Aout!Y82+Sept!Y82+Oct!Y82+Nov!Y82+Dec!Y82</f>
        <v>7300</v>
      </c>
      <c r="S82" s="97">
        <f>Janvier!AC82+Fevrier!AA82+Mars!AA82+Avril!AA82+Mai!AA82+Juin!AA82+Juillet!AA82+Aout!AA82+Sept!AA82+Oct!AA82+Nov!AA82+Dec!AA82</f>
        <v>0</v>
      </c>
      <c r="T82" s="95">
        <f>Janvier!AD82+Fevrier!AB82+Mars!AB82+Avril!AB82+Mai!AB82+Juin!AB82+Juillet!AB82+Aout!AB82+Sept!AB82+Oct!AB82+Nov!AB82+Dec!AB82</f>
        <v>8500</v>
      </c>
      <c r="U82" s="97">
        <f>Janvier!AF82+Fevrier!AD82+Mars!AD82+Avril!AD82+Mai!AD82+Juin!AD82+Juillet!AD82+Aout!AD82+Sept!AD82+Oct!AD82+Nov!AD82+Dec!AD82</f>
        <v>0</v>
      </c>
      <c r="V82" s="95">
        <f>Janvier!AG82+Fevrier!AE82+Mars!AE82+Avril!AE82+Mai!AE82+Juin!AE82+Juillet!AE82+Aout!AE82+Sept!AE82+Oct!AE82+Nov!AE82+Dec!AE82</f>
        <v>10600</v>
      </c>
      <c r="W82" s="97">
        <f>Janvier!AI82+Fevrier!AG82+Mars!AG82+Avril!AG82+Mai!AG82+Juin!AG82+Juillet!AG82+Aout!AG82+Sept!AG82+Oct!AG82+Nov!AG82+Dec!AG82</f>
        <v>0</v>
      </c>
      <c r="X82" s="309">
        <f t="shared" si="10"/>
        <v>0.66680030748618813</v>
      </c>
      <c r="Y82" s="309">
        <f t="shared" si="11"/>
        <v>0.78281656029034041</v>
      </c>
      <c r="Z82" s="309">
        <f t="shared" si="12"/>
        <v>0.75466863732557599</v>
      </c>
      <c r="AA82" s="309">
        <f t="shared" si="13"/>
        <v>0.36614785877322742</v>
      </c>
      <c r="AB82" s="309">
        <f t="shared" si="14"/>
        <v>0.49905506661852606</v>
      </c>
      <c r="AC82" s="309">
        <f t="shared" si="15"/>
        <v>0.7257599596860882</v>
      </c>
      <c r="AD82" s="309">
        <f t="shared" si="16"/>
        <v>0.43370319704109034</v>
      </c>
      <c r="AE82" s="309">
        <f t="shared" si="17"/>
        <v>0.59178193241120736</v>
      </c>
      <c r="AF82" s="309">
        <f t="shared" si="18"/>
        <v>0.6890611541774333</v>
      </c>
      <c r="AG82" s="310">
        <f t="shared" si="19"/>
        <v>0.85929979226832853</v>
      </c>
    </row>
    <row r="83" spans="1:33" x14ac:dyDescent="0.3">
      <c r="A83" s="184" t="s">
        <v>76</v>
      </c>
      <c r="B83" s="212">
        <v>7368</v>
      </c>
      <c r="C83" s="273">
        <v>7247</v>
      </c>
      <c r="D83" s="95">
        <f>Janvier!F83+Fevrier!D83+Mars!D83+Avril!D83+Mai!D83+Juin!D83+Juillet!D83+Aout!D83+Sept!D83+Oct!D83+Nov!D83+Dec!D83</f>
        <v>9660</v>
      </c>
      <c r="E83" s="97">
        <f>+Janvier!H83+Fevrier!F83+Mars!F83+Avril!F83+Mai!F83+Juin!F83+Juillet!F83+Aout!F83+Sept!F83+Oct!F83+Nov!F83+Dec!F83</f>
        <v>0</v>
      </c>
      <c r="F83" s="95">
        <f>Janvier!I83+Fevrier!G83+Mars!G83+Avril!G83+Mai!G83+Juin!G83+Juillet!G83+Aout!G83+Sept!G83+Oct!G83+Nov!G83+Dec!G83</f>
        <v>25280</v>
      </c>
      <c r="G83" s="97">
        <f>+Janvier!K83+Fevrier!I83+Mars!I83+Avril!I83+Mai!I83+Juin!I83+Juillet!I83+Aout!I83+Sept!I83+Oct!I83+Nov!I83+Dec!I83</f>
        <v>0</v>
      </c>
      <c r="H83" s="95">
        <f>Janvier!L83+Fevrier!J83+Mars!J83+Avril!J83+Mai!J83+Juin!J83+Juillet!J83+Aout!J83+Sept!J83+Oct!J83+Nov!J83+Dec!J83</f>
        <v>15000</v>
      </c>
      <c r="I83" s="97">
        <f>Janvier!N83+Fevrier!L83+Mars!L83+Avril!L83+Mai!L83+Juin!L83+Juillet!L83+Aout!L83+Sept!L83+Oct!L83+Nov!L83+Dec!L83</f>
        <v>0</v>
      </c>
      <c r="J83" s="95">
        <f>Janvier!O83+Fevrier!M83+Mars!M83+Avril!M83+Mai!M83+Juin!M83+Juillet!M83+Aout!M83+Sept!M83+Oct!M83+Nov!M83+Dec!M83</f>
        <v>14200</v>
      </c>
      <c r="K83" s="97">
        <f>Janvier!Q83+Fevrier!O83+Mars!O83+Avril!O83+Mai!O83+Juin!O83+Juillet!O83+Aout!O83+Sept!O83+Oct!O83+Nov!O83+Dec!O83</f>
        <v>0</v>
      </c>
      <c r="L83" s="95">
        <f>Janvier!R83+Fevrier!P83+Mars!P83+Avril!P83+Mai!P83+Juin!P83+Juillet!P83+Aout!P83+Sept!P83+Oct!P83+Nov!P83+Dec!P83</f>
        <v>9300</v>
      </c>
      <c r="M83" s="97">
        <f>Janvier!T83+Fevrier!R83+Mars!R83+Avril!R83+Mai!R83+Juin!R83+Juillet!R83+Aout!R83+Sept!R83+Oct!R83+Nov!R83+Dec!R83</f>
        <v>0</v>
      </c>
      <c r="N83" s="95">
        <f>Janvier!U83+Fevrier!S83+Mars!S83+Avril!S83+Mai!S83+Juin!S83+Juillet!S83+Aout!S83+Sept!S83+Oct!S83+Nov!S83+Dec!S83</f>
        <v>5000</v>
      </c>
      <c r="O83" s="97">
        <f>Janvier!W83+Fevrier!U83+Mars!U83+Avril!U83+Mai!U83+Juin!U83+Juillet!U83+Aout!U83+Sept!U83+Oct!U83+Nov!U83+Dec!U83</f>
        <v>0</v>
      </c>
      <c r="P83" s="95">
        <f>Janvier!X83+Fevrier!V83+Mars!V83+Avril!V83+Mai!V83+Juin!V83+Juillet!V83+Aout!V83+Sept!V83+Oct!V83+Nov!V83+Dec!V83</f>
        <v>7600</v>
      </c>
      <c r="Q83" s="97">
        <f>Janvier!Z83+Fevrier!X83+Mars!X83+Avril!X83+Mai!X83+Juin!X83+Juillet!X83+Aout!X83+Sept!X83+Oct!X83+Nov!X83+Dec!X83</f>
        <v>0</v>
      </c>
      <c r="R83" s="95">
        <f>Janvier!AA83+Fevrier!Y83+Mars!Y83+Avril!Y83+Mai!Y83+Juin!Y83+Juillet!Y83+Aout!Y83+Sept!Y83+Oct!Y83+Nov!Y83+Dec!Y83</f>
        <v>5290</v>
      </c>
      <c r="S83" s="97">
        <f>Janvier!AC83+Fevrier!AA83+Mars!AA83+Avril!AA83+Mai!AA83+Juin!AA83+Juillet!AA83+Aout!AA83+Sept!AA83+Oct!AA83+Nov!AA83+Dec!AA83</f>
        <v>0</v>
      </c>
      <c r="T83" s="95">
        <f>Janvier!AD83+Fevrier!AB83+Mars!AB83+Avril!AB83+Mai!AB83+Juin!AB83+Juillet!AB83+Aout!AB83+Sept!AB83+Oct!AB83+Nov!AB83+Dec!AB83</f>
        <v>6300</v>
      </c>
      <c r="U83" s="97">
        <f>Janvier!AF83+Fevrier!AD83+Mars!AD83+Avril!AD83+Mai!AD83+Juin!AD83+Juillet!AD83+Aout!AD83+Sept!AD83+Oct!AD83+Nov!AD83+Dec!AD83</f>
        <v>0</v>
      </c>
      <c r="V83" s="95">
        <f>Janvier!AG83+Fevrier!AE83+Mars!AE83+Avril!AE83+Mai!AE83+Juin!AE83+Juillet!AE83+Aout!AE83+Sept!AE83+Oct!AE83+Nov!AE83+Dec!AE83</f>
        <v>6800</v>
      </c>
      <c r="W83" s="97">
        <f>Janvier!AI83+Fevrier!AG83+Mars!AG83+Avril!AG83+Mai!AG83+Juin!AG83+Juillet!AG83+Aout!AG83+Sept!AG83+Oct!AG83+Nov!AG83+Dec!AG83</f>
        <v>0</v>
      </c>
      <c r="X83" s="309">
        <f t="shared" si="10"/>
        <v>1.0258802179708726</v>
      </c>
      <c r="Y83" s="309">
        <f t="shared" si="11"/>
        <v>0.87295795864858916</v>
      </c>
      <c r="Z83" s="309">
        <f t="shared" si="12"/>
        <v>0.69063129639920029</v>
      </c>
      <c r="AA83" s="309">
        <f t="shared" si="13"/>
        <v>0.35246514119753553</v>
      </c>
      <c r="AB83" s="309">
        <f t="shared" si="14"/>
        <v>0.4281914037675042</v>
      </c>
      <c r="AC83" s="309">
        <f t="shared" si="15"/>
        <v>0.69063129639920029</v>
      </c>
      <c r="AD83" s="309">
        <f t="shared" si="16"/>
        <v>0.46609324931389234</v>
      </c>
      <c r="AE83" s="309">
        <f t="shared" si="17"/>
        <v>0.64885086549223436</v>
      </c>
      <c r="AF83" s="309">
        <f t="shared" si="18"/>
        <v>0.77273354491513735</v>
      </c>
      <c r="AG83" s="310">
        <f t="shared" si="19"/>
        <v>0.83406160403538632</v>
      </c>
    </row>
    <row r="84" spans="1:33" x14ac:dyDescent="0.3">
      <c r="A84" s="184" t="s">
        <v>77</v>
      </c>
      <c r="B84" s="212">
        <v>12394</v>
      </c>
      <c r="C84" s="273">
        <v>12191</v>
      </c>
      <c r="D84" s="95">
        <f>Janvier!F84+Fevrier!D84+Mars!D84+Avril!D84+Mai!D84+Juin!D84+Juillet!D84+Aout!D84+Sept!D84+Oct!D84+Nov!D84+Dec!D84</f>
        <v>10900</v>
      </c>
      <c r="E84" s="97">
        <f>+Janvier!H84+Fevrier!F84+Mars!F84+Avril!F84+Mai!F84+Juin!F84+Juillet!F84+Aout!F84+Sept!F84+Oct!F84+Nov!F84+Dec!F84</f>
        <v>0</v>
      </c>
      <c r="F84" s="95">
        <f>Janvier!I84+Fevrier!G84+Mars!G84+Avril!G84+Mai!G84+Juin!G84+Juillet!G84+Aout!G84+Sept!G84+Oct!G84+Nov!G84+Dec!G84</f>
        <v>39000</v>
      </c>
      <c r="G84" s="97">
        <f>+Janvier!K84+Fevrier!I84+Mars!I84+Avril!I84+Mai!I84+Juin!I84+Juillet!I84+Aout!I84+Sept!I84+Oct!I84+Nov!I84+Dec!I84</f>
        <v>0</v>
      </c>
      <c r="H84" s="95">
        <f>Janvier!L84+Fevrier!J84+Mars!J84+Avril!J84+Mai!J84+Juin!J84+Juillet!J84+Aout!J84+Sept!J84+Oct!J84+Nov!J84+Dec!J84</f>
        <v>28800</v>
      </c>
      <c r="I84" s="97">
        <f>Janvier!N84+Fevrier!L84+Mars!L84+Avril!L84+Mai!L84+Juin!L84+Juillet!L84+Aout!L84+Sept!L84+Oct!L84+Nov!L84+Dec!L84</f>
        <v>0</v>
      </c>
      <c r="J84" s="95">
        <f>Janvier!O84+Fevrier!M84+Mars!M84+Avril!M84+Mai!M84+Juin!M84+Juillet!M84+Aout!M84+Sept!M84+Oct!M84+Nov!M84+Dec!M84</f>
        <v>27800</v>
      </c>
      <c r="K84" s="97">
        <f>Janvier!Q84+Fevrier!O84+Mars!O84+Avril!O84+Mai!O84+Juin!O84+Juillet!O84+Aout!O84+Sept!O84+Oct!O84+Nov!O84+Dec!O84</f>
        <v>0</v>
      </c>
      <c r="L84" s="95">
        <f>Janvier!R84+Fevrier!P84+Mars!P84+Avril!P84+Mai!P84+Juin!P84+Juillet!P84+Aout!P84+Sept!P84+Oct!P84+Nov!P84+Dec!P84</f>
        <v>18850</v>
      </c>
      <c r="M84" s="97">
        <f>Janvier!T84+Fevrier!R84+Mars!R84+Avril!R84+Mai!R84+Juin!R84+Juillet!R84+Aout!R84+Sept!R84+Oct!R84+Nov!R84+Dec!R84</f>
        <v>0</v>
      </c>
      <c r="N84" s="95">
        <f>Janvier!U84+Fevrier!S84+Mars!S84+Avril!S84+Mai!S84+Juin!S84+Juillet!S84+Aout!S84+Sept!S84+Oct!S84+Nov!S84+Dec!S84</f>
        <v>8050</v>
      </c>
      <c r="O84" s="97">
        <f>Janvier!W84+Fevrier!U84+Mars!U84+Avril!U84+Mai!U84+Juin!U84+Juillet!U84+Aout!U84+Sept!U84+Oct!U84+Nov!U84+Dec!U84</f>
        <v>0</v>
      </c>
      <c r="P84" s="95">
        <f>Janvier!X84+Fevrier!V84+Mars!V84+Avril!V84+Mai!V84+Juin!V84+Juillet!V84+Aout!V84+Sept!V84+Oct!V84+Nov!V84+Dec!V84</f>
        <v>10100</v>
      </c>
      <c r="Q84" s="97">
        <f>Janvier!Z84+Fevrier!X84+Mars!X84+Avril!X84+Mai!X84+Juin!X84+Juillet!X84+Aout!X84+Sept!X84+Oct!X84+Nov!X84+Dec!X84</f>
        <v>0</v>
      </c>
      <c r="R84" s="95">
        <f>Janvier!AA84+Fevrier!Y84+Mars!Y84+Avril!Y84+Mai!Y84+Juin!Y84+Juillet!Y84+Aout!Y84+Sept!Y84+Oct!Y84+Nov!Y84+Dec!Y84</f>
        <v>7800</v>
      </c>
      <c r="S84" s="97">
        <f>Janvier!AC84+Fevrier!AA84+Mars!AA84+Avril!AA84+Mai!AA84+Juin!AA84+Juillet!AA84+Aout!AA84+Sept!AA84+Oct!AA84+Nov!AA84+Dec!AA84</f>
        <v>0</v>
      </c>
      <c r="T84" s="95">
        <f>Janvier!AD84+Fevrier!AB84+Mars!AB84+Avril!AB84+Mai!AB84+Juin!AB84+Juillet!AB84+Aout!AB84+Sept!AB84+Oct!AB84+Nov!AB84+Dec!AB84</f>
        <v>9100</v>
      </c>
      <c r="U84" s="97">
        <f>Janvier!AF84+Fevrier!AD84+Mars!AD84+Avril!AD84+Mai!AD84+Juin!AD84+Juillet!AD84+Aout!AD84+Sept!AD84+Oct!AD84+Nov!AD84+Dec!AD84</f>
        <v>0</v>
      </c>
      <c r="V84" s="95">
        <f>Janvier!AG84+Fevrier!AE84+Mars!AE84+Avril!AE84+Mai!AE84+Juin!AE84+Juillet!AE84+Aout!AE84+Sept!AE84+Oct!AE84+Nov!AE84+Dec!AE84</f>
        <v>8600</v>
      </c>
      <c r="W84" s="97">
        <f>Janvier!AI84+Fevrier!AG84+Mars!AG84+Avril!AG84+Mai!AG84+Juin!AG84+Juillet!AG84+Aout!AG84+Sept!AG84+Oct!AG84+Nov!AG84+Dec!AG84</f>
        <v>0</v>
      </c>
      <c r="X84" s="309">
        <f t="shared" si="10"/>
        <v>0.68815164488445746</v>
      </c>
      <c r="Y84" s="309">
        <f t="shared" si="11"/>
        <v>0.80057089326222286</v>
      </c>
      <c r="Z84" s="309">
        <f t="shared" si="12"/>
        <v>0.78825441798126561</v>
      </c>
      <c r="AA84" s="309">
        <f t="shared" si="13"/>
        <v>0.34566941041761184</v>
      </c>
      <c r="AB84" s="309">
        <f t="shared" si="14"/>
        <v>0.51592346454676585</v>
      </c>
      <c r="AC84" s="309">
        <f t="shared" si="15"/>
        <v>0.66098417341137372</v>
      </c>
      <c r="AD84" s="309">
        <f t="shared" si="16"/>
        <v>0.3682133449994987</v>
      </c>
      <c r="AE84" s="309">
        <f t="shared" si="17"/>
        <v>0.56872556257348317</v>
      </c>
      <c r="AF84" s="309">
        <f t="shared" si="18"/>
        <v>0.66351315633573038</v>
      </c>
      <c r="AG84" s="310">
        <f t="shared" si="19"/>
        <v>0.62705638950409681</v>
      </c>
    </row>
    <row r="85" spans="1:33" ht="15" thickBot="1" x14ac:dyDescent="0.35">
      <c r="A85" s="121" t="s">
        <v>78</v>
      </c>
      <c r="B85" s="212">
        <v>5972</v>
      </c>
      <c r="C85" s="273">
        <v>5874</v>
      </c>
      <c r="D85" s="111">
        <f>Janvier!F85+Fevrier!D85+Mars!D85+Avril!D85+Mai!D85+Juin!D85+Juillet!D85+Aout!D85+Sept!D85+Oct!D85+Nov!D85+Dec!D85</f>
        <v>4400</v>
      </c>
      <c r="E85" s="110">
        <f>+Janvier!H85+Fevrier!F85+Mars!F85+Avril!F85+Mai!F85+Juin!F85+Juillet!F85+Aout!F85+Sept!F85+Oct!F85+Nov!F85+Dec!F85</f>
        <v>0</v>
      </c>
      <c r="F85" s="111">
        <f>Janvier!I85+Fevrier!G85+Mars!G85+Avril!G85+Mai!G85+Juin!G85+Juillet!G85+Aout!G85+Sept!G85+Oct!G85+Nov!G85+Dec!G85</f>
        <v>17640</v>
      </c>
      <c r="G85" s="110">
        <f>+Janvier!K85+Fevrier!I85+Mars!I85+Avril!I85+Mai!I85+Juin!I85+Juillet!I85+Aout!I85+Sept!I85+Oct!I85+Nov!I85+Dec!I85</f>
        <v>0</v>
      </c>
      <c r="H85" s="111">
        <f>Janvier!L85+Fevrier!J85+Mars!J85+Avril!J85+Mai!J85+Juin!J85+Juillet!J85+Aout!J85+Sept!J85+Oct!J85+Nov!J85+Dec!J85</f>
        <v>13160</v>
      </c>
      <c r="I85" s="110">
        <f>Janvier!N85+Fevrier!L85+Mars!L85+Avril!L85+Mai!L85+Juin!L85+Juillet!L85+Aout!L85+Sept!L85+Oct!L85+Nov!L85+Dec!L85</f>
        <v>0</v>
      </c>
      <c r="J85" s="111">
        <f>Janvier!O85+Fevrier!M85+Mars!M85+Avril!M85+Mai!M85+Juin!M85+Juillet!M85+Aout!M85+Sept!M85+Oct!M85+Nov!M85+Dec!M85</f>
        <v>12600</v>
      </c>
      <c r="K85" s="110">
        <f>Janvier!Q85+Fevrier!O85+Mars!O85+Avril!O85+Mai!O85+Juin!O85+Juillet!O85+Aout!O85+Sept!O85+Oct!O85+Nov!O85+Dec!O85</f>
        <v>0</v>
      </c>
      <c r="L85" s="111">
        <f>Janvier!R85+Fevrier!P85+Mars!P85+Avril!P85+Mai!P85+Juin!P85+Juillet!P85+Aout!P85+Sept!P85+Oct!P85+Nov!P85+Dec!P85</f>
        <v>8100</v>
      </c>
      <c r="M85" s="110">
        <f>Janvier!T85+Fevrier!R85+Mars!R85+Avril!R85+Mai!R85+Juin!R85+Juillet!R85+Aout!R85+Sept!R85+Oct!R85+Nov!R85+Dec!R85</f>
        <v>0</v>
      </c>
      <c r="N85" s="111">
        <f>Janvier!U85+Fevrier!S85+Mars!S85+Avril!S85+Mai!S85+Juin!S85+Juillet!S85+Aout!S85+Sept!S85+Oct!S85+Nov!S85+Dec!S85</f>
        <v>4250</v>
      </c>
      <c r="O85" s="110">
        <f>Janvier!W85+Fevrier!U85+Mars!U85+Avril!U85+Mai!U85+Juin!U85+Juillet!U85+Aout!U85+Sept!U85+Oct!U85+Nov!U85+Dec!U85</f>
        <v>0</v>
      </c>
      <c r="P85" s="111">
        <f>Janvier!X85+Fevrier!V85+Mars!V85+Avril!V85+Mai!V85+Juin!V85+Juillet!V85+Aout!V85+Sept!V85+Oct!V85+Nov!V85+Dec!V85</f>
        <v>4400</v>
      </c>
      <c r="Q85" s="110">
        <f>Janvier!Z85+Fevrier!X85+Mars!X85+Avril!X85+Mai!X85+Juin!X85+Juillet!X85+Aout!X85+Sept!X85+Oct!X85+Nov!X85+Dec!X85</f>
        <v>0</v>
      </c>
      <c r="R85" s="111">
        <f>Janvier!AA85+Fevrier!Y85+Mars!Y85+Avril!Y85+Mai!Y85+Juin!Y85+Juillet!Y85+Aout!Y85+Sept!Y85+Oct!Y85+Nov!Y85+Dec!Y85</f>
        <v>4010</v>
      </c>
      <c r="S85" s="110">
        <f>Janvier!AC85+Fevrier!AA85+Mars!AA85+Avril!AA85+Mai!AA85+Juin!AA85+Juillet!AA85+Aout!AA85+Sept!AA85+Oct!AA85+Nov!AA85+Dec!AA85</f>
        <v>0</v>
      </c>
      <c r="T85" s="111">
        <f>Janvier!AD85+Fevrier!AB85+Mars!AB85+Avril!AB85+Mai!AB85+Juin!AB85+Juillet!AB85+Aout!AB85+Sept!AB85+Oct!AB85+Nov!AB85+Dec!AB85</f>
        <v>4600</v>
      </c>
      <c r="U85" s="110">
        <f>Janvier!AF85+Fevrier!AD85+Mars!AD85+Avril!AD85+Mai!AD85+Juin!AD85+Juillet!AD85+Aout!AD85+Sept!AD85+Oct!AD85+Nov!AD85+Dec!AD85</f>
        <v>0</v>
      </c>
      <c r="V85" s="111">
        <f>Janvier!AG85+Fevrier!AE85+Mars!AE85+Avril!AE85+Mai!AE85+Juin!AE85+Juillet!AE85+Aout!AE85+Sept!AE85+Oct!AE85+Nov!AE85+Dec!AE85</f>
        <v>5700</v>
      </c>
      <c r="W85" s="110">
        <f>Janvier!AI85+Fevrier!AG85+Mars!AG85+Avril!AG85+Mai!AG85+Juin!AG85+Juillet!AG85+Aout!AG85+Sept!AG85+Oct!AG85+Nov!AG85+Dec!AG85</f>
        <v>0</v>
      </c>
      <c r="X85" s="309">
        <f t="shared" si="10"/>
        <v>0.57650360000293499</v>
      </c>
      <c r="Y85" s="309">
        <f t="shared" si="11"/>
        <v>0.75151760545018953</v>
      </c>
      <c r="Z85" s="309">
        <f t="shared" si="12"/>
        <v>0.747541321823469</v>
      </c>
      <c r="AA85" s="309">
        <f t="shared" si="13"/>
        <v>0.34849664479294107</v>
      </c>
      <c r="AB85" s="309">
        <f t="shared" si="14"/>
        <v>0.46011281966338136</v>
      </c>
      <c r="AC85" s="309">
        <f t="shared" si="15"/>
        <v>0.72425166058124846</v>
      </c>
      <c r="AD85" s="309">
        <f t="shared" si="16"/>
        <v>0.33291718684977112</v>
      </c>
      <c r="AE85" s="309">
        <f t="shared" si="17"/>
        <v>0.60681723603071913</v>
      </c>
      <c r="AF85" s="309">
        <f t="shared" si="18"/>
        <v>0.69609957250406684</v>
      </c>
      <c r="AG85" s="310">
        <f t="shared" si="19"/>
        <v>0.8625581659289524</v>
      </c>
    </row>
    <row r="86" spans="1:33" x14ac:dyDescent="0.3">
      <c r="C86" s="192"/>
      <c r="D86" s="3"/>
      <c r="E86" s="192"/>
      <c r="F86" s="192"/>
      <c r="G86" s="192"/>
      <c r="H86" s="192"/>
      <c r="I86" s="192"/>
      <c r="J86" s="192"/>
      <c r="K86" s="192"/>
      <c r="L86" s="192"/>
      <c r="M86" s="192"/>
      <c r="N86" s="192"/>
      <c r="O86" s="192"/>
      <c r="P86" s="192"/>
      <c r="Q86" s="192"/>
      <c r="R86" s="192"/>
      <c r="S86" s="192"/>
      <c r="T86" s="192"/>
      <c r="U86" s="192"/>
      <c r="V86" s="192"/>
      <c r="W86" s="192"/>
      <c r="X86" s="183" t="s">
        <v>2</v>
      </c>
      <c r="Y86" s="183" t="s">
        <v>80</v>
      </c>
      <c r="Z86" s="183" t="s">
        <v>81</v>
      </c>
      <c r="AA86" s="183" t="s">
        <v>5</v>
      </c>
      <c r="AB86" s="183" t="s">
        <v>82</v>
      </c>
      <c r="AC86" s="183" t="s">
        <v>7</v>
      </c>
      <c r="AD86" s="183" t="s">
        <v>8</v>
      </c>
      <c r="AE86" s="183" t="s">
        <v>9</v>
      </c>
      <c r="AF86" s="183" t="s">
        <v>10</v>
      </c>
      <c r="AG86" s="183" t="s">
        <v>11</v>
      </c>
    </row>
    <row r="87" spans="1:33" x14ac:dyDescent="0.3">
      <c r="C87" s="192"/>
      <c r="D87" s="3"/>
      <c r="E87" s="192"/>
      <c r="F87" s="192"/>
      <c r="G87" s="192"/>
      <c r="H87" s="192"/>
      <c r="I87" s="192"/>
      <c r="J87" s="192"/>
      <c r="K87" s="192"/>
      <c r="L87" s="192"/>
      <c r="M87" s="192"/>
      <c r="N87" s="192"/>
      <c r="O87" s="192"/>
      <c r="P87" s="192"/>
      <c r="Q87" s="192"/>
      <c r="R87" s="192"/>
      <c r="S87" s="192"/>
      <c r="T87" s="192"/>
      <c r="U87" s="192"/>
      <c r="V87" s="192"/>
      <c r="W87" s="192"/>
    </row>
  </sheetData>
  <mergeCells count="14">
    <mergeCell ref="V4:W4"/>
    <mergeCell ref="A1:V1"/>
    <mergeCell ref="E3:V3"/>
    <mergeCell ref="X3:AG3"/>
    <mergeCell ref="A4:A5"/>
    <mergeCell ref="D4:E4"/>
    <mergeCell ref="F4:G4"/>
    <mergeCell ref="H4:I4"/>
    <mergeCell ref="J4:K4"/>
    <mergeCell ref="L4:M4"/>
    <mergeCell ref="N4:O4"/>
    <mergeCell ref="P4:Q4"/>
    <mergeCell ref="R4:S4"/>
    <mergeCell ref="T4:U4"/>
  </mergeCells>
  <conditionalFormatting sqref="X6:AG85">
    <cfRule type="cellIs" dxfId="23" priority="25" operator="lessThanOrEqual">
      <formula>3</formula>
    </cfRule>
    <cfRule type="cellIs" dxfId="22" priority="26" operator="between">
      <formula>3.01</formula>
      <formula>5</formula>
    </cfRule>
    <cfRule type="cellIs" dxfId="21" priority="27" operator="between">
      <formula>5.01</formula>
      <formula>15</formula>
    </cfRule>
    <cfRule type="cellIs" dxfId="20" priority="28" operator="greaterThan">
      <formula>15</formula>
    </cfRule>
  </conditionalFormatting>
  <conditionalFormatting sqref="E6:E85">
    <cfRule type="cellIs" dxfId="19" priority="19" operator="equal">
      <formula>0</formula>
    </cfRule>
    <cfRule type="cellIs" dxfId="18" priority="20" operator="greaterThan">
      <formula>0</formula>
    </cfRule>
  </conditionalFormatting>
  <conditionalFormatting sqref="G6:G85">
    <cfRule type="cellIs" dxfId="17" priority="17" operator="equal">
      <formula>0</formula>
    </cfRule>
    <cfRule type="cellIs" dxfId="16" priority="18" operator="greaterThan">
      <formula>0</formula>
    </cfRule>
  </conditionalFormatting>
  <conditionalFormatting sqref="I6:I85">
    <cfRule type="cellIs" dxfId="15" priority="15" operator="equal">
      <formula>0</formula>
    </cfRule>
    <cfRule type="cellIs" dxfId="14" priority="16" operator="greaterThan">
      <formula>0</formula>
    </cfRule>
  </conditionalFormatting>
  <conditionalFormatting sqref="K6:K85">
    <cfRule type="cellIs" dxfId="13" priority="13" operator="equal">
      <formula>0</formula>
    </cfRule>
    <cfRule type="cellIs" dxfId="12" priority="14" operator="greaterThan">
      <formula>0</formula>
    </cfRule>
  </conditionalFormatting>
  <conditionalFormatting sqref="M6:M85">
    <cfRule type="cellIs" dxfId="11" priority="11" operator="equal">
      <formula>0</formula>
    </cfRule>
    <cfRule type="cellIs" dxfId="10" priority="12" operator="greaterThan">
      <formula>0</formula>
    </cfRule>
  </conditionalFormatting>
  <conditionalFormatting sqref="O6:O85">
    <cfRule type="cellIs" dxfId="9" priority="9" operator="equal">
      <formula>0</formula>
    </cfRule>
    <cfRule type="cellIs" dxfId="8" priority="10" operator="greaterThan">
      <formula>0</formula>
    </cfRule>
  </conditionalFormatting>
  <conditionalFormatting sqref="Q6:Q85">
    <cfRule type="cellIs" dxfId="7" priority="7" operator="equal">
      <formula>0</formula>
    </cfRule>
    <cfRule type="cellIs" dxfId="6" priority="8" operator="greaterThan">
      <formula>0</formula>
    </cfRule>
  </conditionalFormatting>
  <conditionalFormatting sqref="S6:S85">
    <cfRule type="cellIs" dxfId="5" priority="5" operator="equal">
      <formula>0</formula>
    </cfRule>
    <cfRule type="cellIs" dxfId="4" priority="6" operator="greaterThan">
      <formula>0</formula>
    </cfRule>
  </conditionalFormatting>
  <conditionalFormatting sqref="U6:U85">
    <cfRule type="cellIs" dxfId="3" priority="3" operator="equal">
      <formula>0</formula>
    </cfRule>
    <cfRule type="cellIs" dxfId="2" priority="4" operator="greaterThan">
      <formula>0</formula>
    </cfRule>
  </conditionalFormatting>
  <conditionalFormatting sqref="W6:W85">
    <cfRule type="cellIs" dxfId="1" priority="1" operator="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CDD5B-0C28-4B93-855B-248778796876}">
  <sheetPr>
    <tabColor theme="9" tint="0.59999389629810485"/>
  </sheetPr>
  <dimension ref="A1:K82"/>
  <sheetViews>
    <sheetView workbookViewId="0">
      <selection activeCell="E14" sqref="E14"/>
    </sheetView>
  </sheetViews>
  <sheetFormatPr defaultColWidth="9.109375" defaultRowHeight="14.4" x14ac:dyDescent="0.3"/>
  <cols>
    <col min="1" max="1" width="17.5546875" style="183" customWidth="1"/>
    <col min="2" max="10" width="9.109375" style="183"/>
    <col min="11" max="11" width="13.88671875" style="183" customWidth="1"/>
    <col min="12" max="16384" width="9.109375" style="183"/>
  </cols>
  <sheetData>
    <row r="1" spans="1:11" x14ac:dyDescent="0.3">
      <c r="A1" s="331"/>
      <c r="B1" s="332" t="s">
        <v>149</v>
      </c>
      <c r="C1" s="333"/>
      <c r="D1" s="333"/>
      <c r="E1" s="333"/>
      <c r="F1" s="333"/>
      <c r="G1" s="333"/>
      <c r="H1" s="333"/>
      <c r="I1" s="333"/>
      <c r="J1" s="333"/>
      <c r="K1" s="333"/>
    </row>
    <row r="2" spans="1:11" x14ac:dyDescent="0.3">
      <c r="A2" s="331"/>
      <c r="B2" s="334" t="s">
        <v>2</v>
      </c>
      <c r="C2" s="334" t="s">
        <v>3</v>
      </c>
      <c r="D2" s="334" t="s">
        <v>150</v>
      </c>
      <c r="E2" s="334" t="s">
        <v>151</v>
      </c>
      <c r="F2" s="334" t="s">
        <v>152</v>
      </c>
      <c r="G2" s="334" t="s">
        <v>7</v>
      </c>
      <c r="H2" s="334" t="s">
        <v>8</v>
      </c>
      <c r="I2" s="334" t="s">
        <v>10</v>
      </c>
      <c r="J2" s="334" t="s">
        <v>153</v>
      </c>
      <c r="K2" s="334" t="s">
        <v>11</v>
      </c>
    </row>
    <row r="3" spans="1:11" x14ac:dyDescent="0.3">
      <c r="A3" s="208" t="s">
        <v>87</v>
      </c>
      <c r="B3" s="331">
        <v>5800</v>
      </c>
      <c r="C3" s="331">
        <v>23180</v>
      </c>
      <c r="D3" s="331">
        <v>13220</v>
      </c>
      <c r="E3" s="331">
        <v>12276</v>
      </c>
      <c r="F3" s="331">
        <v>9219</v>
      </c>
      <c r="G3" s="331">
        <v>4660</v>
      </c>
      <c r="H3" s="331">
        <v>12540</v>
      </c>
      <c r="I3" s="331">
        <v>7480</v>
      </c>
      <c r="J3" s="331">
        <v>6270</v>
      </c>
      <c r="K3" s="331">
        <v>10430</v>
      </c>
    </row>
    <row r="4" spans="1:11" x14ac:dyDescent="0.3">
      <c r="A4" s="211" t="s">
        <v>100</v>
      </c>
      <c r="B4" s="331">
        <v>80</v>
      </c>
      <c r="C4" s="331">
        <v>180</v>
      </c>
      <c r="D4" s="331">
        <v>100</v>
      </c>
      <c r="E4" s="331">
        <v>0</v>
      </c>
      <c r="F4" s="331">
        <v>100</v>
      </c>
      <c r="G4" s="331">
        <v>40</v>
      </c>
      <c r="H4" s="331">
        <v>100</v>
      </c>
      <c r="I4" s="331">
        <v>70</v>
      </c>
      <c r="J4" s="331">
        <v>0</v>
      </c>
      <c r="K4" s="331">
        <v>40</v>
      </c>
    </row>
    <row r="5" spans="1:11" x14ac:dyDescent="0.3">
      <c r="A5" s="211" t="s">
        <v>101</v>
      </c>
      <c r="B5" s="331">
        <v>0</v>
      </c>
      <c r="C5" s="331">
        <v>1920</v>
      </c>
      <c r="D5" s="331">
        <v>80</v>
      </c>
      <c r="E5" s="331">
        <v>12</v>
      </c>
      <c r="F5" s="331">
        <v>0</v>
      </c>
      <c r="G5" s="331">
        <v>130</v>
      </c>
      <c r="H5" s="331">
        <v>690</v>
      </c>
      <c r="I5" s="331">
        <v>70</v>
      </c>
      <c r="J5" s="331">
        <v>160</v>
      </c>
      <c r="K5" s="331">
        <v>320</v>
      </c>
    </row>
    <row r="6" spans="1:11" x14ac:dyDescent="0.3">
      <c r="A6" s="211" t="s">
        <v>102</v>
      </c>
      <c r="B6" s="331">
        <v>480</v>
      </c>
      <c r="C6" s="331">
        <v>1020</v>
      </c>
      <c r="D6" s="331">
        <v>900</v>
      </c>
      <c r="E6" s="331">
        <v>1320</v>
      </c>
      <c r="F6" s="331">
        <v>864</v>
      </c>
      <c r="G6" s="331">
        <v>390</v>
      </c>
      <c r="H6" s="331">
        <v>1040</v>
      </c>
      <c r="I6" s="331">
        <v>500</v>
      </c>
      <c r="J6" s="331">
        <v>550</v>
      </c>
      <c r="K6" s="331">
        <v>800</v>
      </c>
    </row>
    <row r="7" spans="1:11" x14ac:dyDescent="0.3">
      <c r="A7" s="211" t="s">
        <v>34</v>
      </c>
      <c r="B7" s="331">
        <v>280</v>
      </c>
      <c r="C7" s="331">
        <v>140</v>
      </c>
      <c r="D7" s="331">
        <v>110</v>
      </c>
      <c r="E7" s="331">
        <v>68</v>
      </c>
      <c r="F7" s="331">
        <v>89</v>
      </c>
      <c r="G7" s="331">
        <v>230</v>
      </c>
      <c r="H7" s="331">
        <v>550</v>
      </c>
      <c r="I7" s="331">
        <v>30</v>
      </c>
      <c r="J7" s="331">
        <v>0</v>
      </c>
      <c r="K7" s="331">
        <v>200</v>
      </c>
    </row>
    <row r="8" spans="1:11" x14ac:dyDescent="0.3">
      <c r="A8" s="211" t="s">
        <v>103</v>
      </c>
      <c r="B8" s="331">
        <v>40</v>
      </c>
      <c r="C8" s="331">
        <v>160</v>
      </c>
      <c r="D8" s="331">
        <v>190</v>
      </c>
      <c r="E8" s="331">
        <v>148</v>
      </c>
      <c r="F8" s="331">
        <v>88</v>
      </c>
      <c r="G8" s="331">
        <v>30</v>
      </c>
      <c r="H8" s="331">
        <v>230</v>
      </c>
      <c r="I8" s="331">
        <v>90</v>
      </c>
      <c r="J8" s="331">
        <v>130</v>
      </c>
      <c r="K8" s="331">
        <v>180</v>
      </c>
    </row>
    <row r="9" spans="1:11" x14ac:dyDescent="0.3">
      <c r="A9" s="211" t="s">
        <v>104</v>
      </c>
      <c r="B9" s="331">
        <v>40</v>
      </c>
      <c r="C9" s="331">
        <v>300</v>
      </c>
      <c r="D9" s="331">
        <v>120</v>
      </c>
      <c r="E9" s="331">
        <v>248</v>
      </c>
      <c r="F9" s="331">
        <v>140</v>
      </c>
      <c r="G9" s="331">
        <v>60</v>
      </c>
      <c r="H9" s="331">
        <v>290</v>
      </c>
      <c r="I9" s="331">
        <v>20</v>
      </c>
      <c r="J9" s="331">
        <v>20</v>
      </c>
      <c r="K9" s="331">
        <v>60</v>
      </c>
    </row>
    <row r="10" spans="1:11" x14ac:dyDescent="0.3">
      <c r="A10" s="211" t="s">
        <v>105</v>
      </c>
      <c r="B10" s="331">
        <v>0</v>
      </c>
      <c r="C10" s="331">
        <v>500</v>
      </c>
      <c r="D10" s="331">
        <v>660</v>
      </c>
      <c r="E10" s="331">
        <v>28</v>
      </c>
      <c r="F10" s="331">
        <v>328</v>
      </c>
      <c r="G10" s="331">
        <v>370</v>
      </c>
      <c r="H10" s="331">
        <v>1040</v>
      </c>
      <c r="I10" s="331">
        <v>320</v>
      </c>
      <c r="J10" s="331">
        <v>280</v>
      </c>
      <c r="K10" s="331">
        <v>370</v>
      </c>
    </row>
    <row r="11" spans="1:11" x14ac:dyDescent="0.3">
      <c r="A11" s="208" t="s">
        <v>85</v>
      </c>
      <c r="B11" s="331">
        <v>4020</v>
      </c>
      <c r="C11" s="331">
        <v>6480</v>
      </c>
      <c r="D11" s="331">
        <v>13990</v>
      </c>
      <c r="E11" s="331">
        <v>11456</v>
      </c>
      <c r="F11" s="331">
        <v>7730</v>
      </c>
      <c r="G11" s="331">
        <v>3930</v>
      </c>
      <c r="H11" s="331">
        <v>32270</v>
      </c>
      <c r="I11" s="331">
        <v>5200</v>
      </c>
      <c r="J11" s="331">
        <v>4310</v>
      </c>
      <c r="K11" s="331">
        <v>7850</v>
      </c>
    </row>
    <row r="12" spans="1:11" x14ac:dyDescent="0.3">
      <c r="A12" s="211" t="s">
        <v>57</v>
      </c>
      <c r="B12" s="331">
        <v>140</v>
      </c>
      <c r="C12" s="331">
        <v>670</v>
      </c>
      <c r="D12" s="331">
        <v>960</v>
      </c>
      <c r="E12" s="331">
        <v>20</v>
      </c>
      <c r="F12" s="331">
        <v>220</v>
      </c>
      <c r="G12" s="331">
        <v>470</v>
      </c>
      <c r="H12" s="331">
        <v>610</v>
      </c>
      <c r="I12" s="331">
        <v>589</v>
      </c>
      <c r="J12" s="331">
        <v>1829</v>
      </c>
      <c r="K12" s="331">
        <v>1370</v>
      </c>
    </row>
    <row r="13" spans="1:11" x14ac:dyDescent="0.3">
      <c r="A13" s="211" t="s">
        <v>58</v>
      </c>
      <c r="B13" s="331">
        <v>180</v>
      </c>
      <c r="C13" s="331">
        <v>680</v>
      </c>
      <c r="D13" s="331">
        <v>690</v>
      </c>
      <c r="E13" s="331">
        <v>670</v>
      </c>
      <c r="F13" s="331">
        <v>306</v>
      </c>
      <c r="G13" s="331">
        <v>660</v>
      </c>
      <c r="H13" s="331">
        <v>810</v>
      </c>
      <c r="I13" s="331">
        <v>732</v>
      </c>
      <c r="J13" s="331">
        <v>836</v>
      </c>
      <c r="K13" s="331">
        <v>690</v>
      </c>
    </row>
    <row r="14" spans="1:11" x14ac:dyDescent="0.3">
      <c r="A14" s="211" t="s">
        <v>59</v>
      </c>
      <c r="B14" s="331">
        <v>560</v>
      </c>
      <c r="C14" s="331">
        <v>340</v>
      </c>
      <c r="D14" s="331">
        <v>280</v>
      </c>
      <c r="E14" s="331">
        <v>570</v>
      </c>
      <c r="F14" s="331">
        <v>570</v>
      </c>
      <c r="G14" s="331">
        <v>338</v>
      </c>
      <c r="H14" s="331">
        <v>460</v>
      </c>
      <c r="I14" s="331">
        <v>390</v>
      </c>
      <c r="J14" s="331">
        <v>330</v>
      </c>
      <c r="K14" s="331">
        <v>340</v>
      </c>
    </row>
    <row r="15" spans="1:11" x14ac:dyDescent="0.3">
      <c r="A15" s="211" t="s">
        <v>60</v>
      </c>
      <c r="B15" s="331">
        <v>620</v>
      </c>
      <c r="C15" s="331">
        <v>710</v>
      </c>
      <c r="D15" s="331">
        <v>710</v>
      </c>
      <c r="E15" s="331">
        <v>570</v>
      </c>
      <c r="F15" s="331">
        <v>760</v>
      </c>
      <c r="G15" s="331">
        <v>960</v>
      </c>
      <c r="H15" s="331">
        <v>820</v>
      </c>
      <c r="I15" s="331">
        <v>1088</v>
      </c>
      <c r="J15" s="331">
        <v>1000</v>
      </c>
      <c r="K15" s="331">
        <v>880</v>
      </c>
    </row>
    <row r="16" spans="1:11" x14ac:dyDescent="0.3">
      <c r="A16" s="211" t="s">
        <v>61</v>
      </c>
      <c r="B16" s="331">
        <v>180</v>
      </c>
      <c r="C16" s="331">
        <v>600</v>
      </c>
      <c r="D16" s="331">
        <v>400</v>
      </c>
      <c r="E16" s="331">
        <v>500</v>
      </c>
      <c r="F16" s="331">
        <v>360</v>
      </c>
      <c r="G16" s="331">
        <v>270</v>
      </c>
      <c r="H16" s="331">
        <v>270</v>
      </c>
      <c r="I16" s="331">
        <v>310</v>
      </c>
      <c r="J16" s="331">
        <v>310</v>
      </c>
      <c r="K16" s="331">
        <v>220</v>
      </c>
    </row>
    <row r="17" spans="1:11" x14ac:dyDescent="0.3">
      <c r="A17" s="211" t="s">
        <v>62</v>
      </c>
      <c r="B17" s="331">
        <v>240</v>
      </c>
      <c r="C17" s="331">
        <v>260</v>
      </c>
      <c r="D17" s="331">
        <v>140</v>
      </c>
      <c r="E17" s="331">
        <v>190</v>
      </c>
      <c r="F17" s="331">
        <v>190</v>
      </c>
      <c r="G17" s="331">
        <v>295</v>
      </c>
      <c r="H17" s="331">
        <v>80</v>
      </c>
      <c r="I17" s="331">
        <v>130</v>
      </c>
      <c r="J17" s="331">
        <v>130</v>
      </c>
      <c r="K17" s="331">
        <v>350</v>
      </c>
    </row>
    <row r="18" spans="1:11" x14ac:dyDescent="0.3">
      <c r="A18" s="208" t="s">
        <v>91</v>
      </c>
      <c r="B18" s="331">
        <v>22560</v>
      </c>
      <c r="C18" s="331">
        <v>100640</v>
      </c>
      <c r="D18" s="331">
        <v>70460</v>
      </c>
      <c r="E18" s="331">
        <v>69024</v>
      </c>
      <c r="F18" s="331">
        <v>44048</v>
      </c>
      <c r="G18" s="331">
        <v>17570</v>
      </c>
      <c r="H18" s="331">
        <v>70000</v>
      </c>
      <c r="I18" s="331">
        <v>7730</v>
      </c>
      <c r="J18" s="331">
        <v>24250</v>
      </c>
      <c r="K18" s="331">
        <v>39620</v>
      </c>
    </row>
    <row r="19" spans="1:11" x14ac:dyDescent="0.3">
      <c r="A19" s="211" t="s">
        <v>14</v>
      </c>
      <c r="B19" s="331">
        <v>1660</v>
      </c>
      <c r="C19" s="331">
        <v>4840</v>
      </c>
      <c r="D19" s="331">
        <v>3290</v>
      </c>
      <c r="E19" s="331">
        <v>3484</v>
      </c>
      <c r="F19" s="331">
        <v>2342</v>
      </c>
      <c r="G19" s="331">
        <v>1130</v>
      </c>
      <c r="H19" s="331">
        <v>2910</v>
      </c>
      <c r="I19" s="331">
        <v>1250</v>
      </c>
      <c r="J19" s="331">
        <v>1280</v>
      </c>
      <c r="K19" s="331">
        <v>2370</v>
      </c>
    </row>
    <row r="20" spans="1:11" x14ac:dyDescent="0.3">
      <c r="A20" s="211" t="s">
        <v>15</v>
      </c>
      <c r="B20" s="331">
        <v>140</v>
      </c>
      <c r="C20" s="331">
        <v>820</v>
      </c>
      <c r="D20" s="331">
        <v>250</v>
      </c>
      <c r="E20" s="331">
        <v>300</v>
      </c>
      <c r="F20" s="331">
        <v>900</v>
      </c>
      <c r="G20" s="331">
        <v>330</v>
      </c>
      <c r="H20" s="331">
        <v>1000</v>
      </c>
      <c r="I20" s="331">
        <v>400</v>
      </c>
      <c r="J20" s="331">
        <v>450</v>
      </c>
      <c r="K20" s="331">
        <v>870</v>
      </c>
    </row>
    <row r="21" spans="1:11" x14ac:dyDescent="0.3">
      <c r="A21" s="211" t="s">
        <v>16</v>
      </c>
      <c r="B21" s="331">
        <v>1100</v>
      </c>
      <c r="C21" s="331">
        <v>3240</v>
      </c>
      <c r="D21" s="331">
        <v>1700</v>
      </c>
      <c r="E21" s="331">
        <v>3048</v>
      </c>
      <c r="F21" s="331">
        <v>64</v>
      </c>
      <c r="G21" s="331">
        <v>3800</v>
      </c>
      <c r="H21" s="331">
        <v>2410</v>
      </c>
      <c r="I21" s="331">
        <v>3500</v>
      </c>
      <c r="J21" s="331">
        <v>4560</v>
      </c>
      <c r="K21" s="331">
        <v>1710</v>
      </c>
    </row>
    <row r="22" spans="1:11" x14ac:dyDescent="0.3">
      <c r="A22" s="211" t="s">
        <v>17</v>
      </c>
      <c r="B22" s="331">
        <v>2360</v>
      </c>
      <c r="C22" s="331">
        <v>7500</v>
      </c>
      <c r="D22" s="331">
        <v>4890</v>
      </c>
      <c r="E22" s="331">
        <v>5048</v>
      </c>
      <c r="F22" s="331">
        <v>3560</v>
      </c>
      <c r="G22" s="331">
        <v>1490</v>
      </c>
      <c r="H22" s="331">
        <v>5190</v>
      </c>
      <c r="I22" s="331">
        <v>2200</v>
      </c>
      <c r="J22" s="331">
        <v>2270</v>
      </c>
      <c r="K22" s="331">
        <v>3570</v>
      </c>
    </row>
    <row r="23" spans="1:11" x14ac:dyDescent="0.3">
      <c r="A23" s="211" t="s">
        <v>18</v>
      </c>
      <c r="B23" s="331">
        <v>1320</v>
      </c>
      <c r="C23" s="331">
        <v>2460</v>
      </c>
      <c r="D23" s="331">
        <v>1870</v>
      </c>
      <c r="E23" s="331">
        <v>1400</v>
      </c>
      <c r="F23" s="331">
        <v>1100</v>
      </c>
      <c r="G23" s="331">
        <v>600</v>
      </c>
      <c r="H23" s="331">
        <v>1980</v>
      </c>
      <c r="I23" s="331">
        <v>1020</v>
      </c>
      <c r="J23" s="331">
        <v>960</v>
      </c>
      <c r="K23" s="331">
        <v>840</v>
      </c>
    </row>
    <row r="24" spans="1:11" x14ac:dyDescent="0.3">
      <c r="A24" s="211" t="s">
        <v>19</v>
      </c>
      <c r="B24" s="331">
        <v>2280</v>
      </c>
      <c r="C24" s="331">
        <v>2660</v>
      </c>
      <c r="D24" s="331">
        <v>2630</v>
      </c>
      <c r="E24" s="331">
        <v>2568</v>
      </c>
      <c r="F24" s="331">
        <v>1530</v>
      </c>
      <c r="G24" s="331">
        <v>1300</v>
      </c>
      <c r="H24" s="331">
        <v>1390</v>
      </c>
      <c r="I24" s="331">
        <v>1120</v>
      </c>
      <c r="J24" s="331">
        <v>1530</v>
      </c>
      <c r="K24" s="331">
        <v>1810</v>
      </c>
    </row>
    <row r="25" spans="1:11" x14ac:dyDescent="0.3">
      <c r="A25" s="211" t="s">
        <v>20</v>
      </c>
      <c r="B25" s="331">
        <v>940</v>
      </c>
      <c r="C25" s="331">
        <v>1840</v>
      </c>
      <c r="D25" s="331">
        <v>770</v>
      </c>
      <c r="E25" s="331">
        <v>1060</v>
      </c>
      <c r="F25" s="331">
        <v>462</v>
      </c>
      <c r="G25" s="331">
        <v>1680</v>
      </c>
      <c r="H25" s="331">
        <v>2530</v>
      </c>
      <c r="I25" s="331">
        <v>1010</v>
      </c>
      <c r="J25" s="331">
        <v>1060</v>
      </c>
      <c r="K25" s="331">
        <v>710</v>
      </c>
    </row>
    <row r="26" spans="1:11" x14ac:dyDescent="0.3">
      <c r="A26" s="211" t="s">
        <v>79</v>
      </c>
      <c r="B26" s="331">
        <v>740</v>
      </c>
      <c r="C26" s="331">
        <v>4440</v>
      </c>
      <c r="D26" s="331">
        <v>2670</v>
      </c>
      <c r="E26" s="331">
        <v>3452</v>
      </c>
      <c r="F26" s="331">
        <v>1866</v>
      </c>
      <c r="G26" s="331">
        <v>880</v>
      </c>
      <c r="H26" s="331">
        <v>2460</v>
      </c>
      <c r="I26" s="331">
        <v>1000</v>
      </c>
      <c r="J26" s="331">
        <v>870</v>
      </c>
      <c r="K26" s="331">
        <v>1960</v>
      </c>
    </row>
    <row r="27" spans="1:11" x14ac:dyDescent="0.3">
      <c r="A27" s="208" t="s">
        <v>84</v>
      </c>
      <c r="B27" s="331">
        <v>22500</v>
      </c>
      <c r="C27" s="331">
        <v>152000</v>
      </c>
      <c r="D27" s="331">
        <v>124140</v>
      </c>
      <c r="E27" s="331">
        <v>89800</v>
      </c>
      <c r="F27" s="331">
        <v>69350</v>
      </c>
      <c r="G27" s="331">
        <v>44290</v>
      </c>
      <c r="H27" s="331">
        <v>93000</v>
      </c>
      <c r="I27" s="331">
        <v>0</v>
      </c>
      <c r="J27" s="331">
        <v>33500</v>
      </c>
      <c r="K27" s="331">
        <v>77500</v>
      </c>
    </row>
    <row r="28" spans="1:11" x14ac:dyDescent="0.3">
      <c r="A28" s="211" t="s">
        <v>35</v>
      </c>
      <c r="B28" s="331">
        <v>1880</v>
      </c>
      <c r="C28" s="331">
        <v>3880</v>
      </c>
      <c r="D28" s="331">
        <v>2050</v>
      </c>
      <c r="E28" s="331">
        <v>2692</v>
      </c>
      <c r="F28" s="331">
        <v>1451</v>
      </c>
      <c r="G28" s="331">
        <v>610</v>
      </c>
      <c r="H28" s="331">
        <v>2390</v>
      </c>
      <c r="I28" s="331">
        <v>1160</v>
      </c>
      <c r="J28" s="331">
        <v>1450</v>
      </c>
      <c r="K28" s="331">
        <v>1720</v>
      </c>
    </row>
    <row r="29" spans="1:11" x14ac:dyDescent="0.3">
      <c r="A29" s="211" t="s">
        <v>36</v>
      </c>
      <c r="B29" s="331">
        <v>1200</v>
      </c>
      <c r="C29" s="331">
        <v>1020</v>
      </c>
      <c r="D29" s="331">
        <v>1000</v>
      </c>
      <c r="E29" s="331">
        <v>1000</v>
      </c>
      <c r="F29" s="331">
        <v>750</v>
      </c>
      <c r="G29" s="331">
        <v>500</v>
      </c>
      <c r="H29" s="331">
        <v>930</v>
      </c>
      <c r="I29" s="331">
        <v>680</v>
      </c>
      <c r="J29" s="331">
        <v>880</v>
      </c>
      <c r="K29" s="331">
        <v>1300</v>
      </c>
    </row>
    <row r="30" spans="1:11" x14ac:dyDescent="0.3">
      <c r="A30" s="211" t="s">
        <v>37</v>
      </c>
      <c r="B30" s="331">
        <v>5120</v>
      </c>
      <c r="C30" s="331">
        <v>11500</v>
      </c>
      <c r="D30" s="331">
        <v>11230</v>
      </c>
      <c r="E30" s="331">
        <v>10332</v>
      </c>
      <c r="F30" s="331">
        <v>6800</v>
      </c>
      <c r="G30" s="331">
        <v>4470</v>
      </c>
      <c r="H30" s="331">
        <v>9210</v>
      </c>
      <c r="I30" s="331">
        <v>2590</v>
      </c>
      <c r="J30" s="331">
        <v>5100</v>
      </c>
      <c r="K30" s="331">
        <v>7580</v>
      </c>
    </row>
    <row r="31" spans="1:11" x14ac:dyDescent="0.3">
      <c r="A31" s="211" t="s">
        <v>38</v>
      </c>
      <c r="B31" s="331">
        <v>1140</v>
      </c>
      <c r="C31" s="331">
        <v>4000</v>
      </c>
      <c r="D31" s="331">
        <v>2480</v>
      </c>
      <c r="E31" s="331">
        <v>3240</v>
      </c>
      <c r="F31" s="331">
        <v>2150</v>
      </c>
      <c r="G31" s="331">
        <v>800</v>
      </c>
      <c r="H31" s="331">
        <v>1210</v>
      </c>
      <c r="I31" s="331">
        <v>130</v>
      </c>
      <c r="J31" s="331">
        <v>900</v>
      </c>
      <c r="K31" s="331">
        <v>1720</v>
      </c>
    </row>
    <row r="32" spans="1:11" x14ac:dyDescent="0.3">
      <c r="A32" s="211" t="s">
        <v>39</v>
      </c>
      <c r="B32" s="331">
        <v>200</v>
      </c>
      <c r="C32" s="331">
        <v>9220</v>
      </c>
      <c r="D32" s="331">
        <v>100</v>
      </c>
      <c r="E32" s="331">
        <v>140</v>
      </c>
      <c r="F32" s="331">
        <v>1250</v>
      </c>
      <c r="G32" s="331">
        <v>1060</v>
      </c>
      <c r="H32" s="331">
        <v>3070</v>
      </c>
      <c r="I32" s="331">
        <v>1860</v>
      </c>
      <c r="J32" s="331">
        <v>0</v>
      </c>
      <c r="K32" s="331">
        <v>2860</v>
      </c>
    </row>
    <row r="33" spans="1:11" x14ac:dyDescent="0.3">
      <c r="A33" s="211" t="s">
        <v>40</v>
      </c>
      <c r="B33" s="331">
        <v>1260</v>
      </c>
      <c r="C33" s="331">
        <v>4740</v>
      </c>
      <c r="D33" s="331">
        <v>4580</v>
      </c>
      <c r="E33" s="331">
        <v>4708</v>
      </c>
      <c r="F33" s="331">
        <v>2450</v>
      </c>
      <c r="G33" s="331">
        <v>2080</v>
      </c>
      <c r="H33" s="331">
        <v>3870</v>
      </c>
      <c r="I33" s="331">
        <v>0</v>
      </c>
      <c r="J33" s="331">
        <v>1630</v>
      </c>
      <c r="K33" s="331">
        <v>2960</v>
      </c>
    </row>
    <row r="34" spans="1:11" x14ac:dyDescent="0.3">
      <c r="A34" s="211" t="s">
        <v>41</v>
      </c>
      <c r="B34" s="331">
        <v>2480</v>
      </c>
      <c r="C34" s="331">
        <v>5000</v>
      </c>
      <c r="D34" s="331">
        <v>2600</v>
      </c>
      <c r="E34" s="331">
        <v>2340</v>
      </c>
      <c r="F34" s="331">
        <v>900</v>
      </c>
      <c r="G34" s="331">
        <v>760</v>
      </c>
      <c r="H34" s="331">
        <v>5880</v>
      </c>
      <c r="I34" s="331">
        <v>1310</v>
      </c>
      <c r="J34" s="331">
        <v>1080</v>
      </c>
      <c r="K34" s="331">
        <v>2490</v>
      </c>
    </row>
    <row r="35" spans="1:11" x14ac:dyDescent="0.3">
      <c r="A35" s="211" t="s">
        <v>42</v>
      </c>
      <c r="B35" s="331">
        <v>360</v>
      </c>
      <c r="C35" s="331">
        <v>1820</v>
      </c>
      <c r="D35" s="331">
        <v>80</v>
      </c>
      <c r="E35" s="331">
        <v>420</v>
      </c>
      <c r="F35" s="331">
        <v>1450</v>
      </c>
      <c r="G35" s="331">
        <v>660</v>
      </c>
      <c r="H35" s="331">
        <v>2280</v>
      </c>
      <c r="I35" s="331">
        <v>1300</v>
      </c>
      <c r="J35" s="331">
        <v>1110</v>
      </c>
      <c r="K35" s="331">
        <v>1340</v>
      </c>
    </row>
    <row r="36" spans="1:11" x14ac:dyDescent="0.3">
      <c r="A36" s="211" t="s">
        <v>43</v>
      </c>
      <c r="B36" s="335">
        <v>1640</v>
      </c>
      <c r="C36" s="335">
        <v>6880</v>
      </c>
      <c r="D36" s="335">
        <v>1080</v>
      </c>
      <c r="E36" s="331">
        <v>612</v>
      </c>
      <c r="F36" s="331">
        <v>50</v>
      </c>
      <c r="G36" s="335">
        <v>2280</v>
      </c>
      <c r="H36" s="331">
        <v>960</v>
      </c>
      <c r="I36" s="335">
        <v>2240</v>
      </c>
      <c r="J36" s="335">
        <v>1320</v>
      </c>
      <c r="K36" s="335">
        <v>1960</v>
      </c>
    </row>
    <row r="37" spans="1:11" x14ac:dyDescent="0.3">
      <c r="A37" s="208" t="s">
        <v>88</v>
      </c>
      <c r="B37" s="331">
        <v>43420</v>
      </c>
      <c r="C37" s="331">
        <v>139860</v>
      </c>
      <c r="D37" s="331">
        <v>72550</v>
      </c>
      <c r="E37" s="331">
        <v>101820</v>
      </c>
      <c r="F37" s="331">
        <v>58225</v>
      </c>
      <c r="G37" s="331">
        <v>29980</v>
      </c>
      <c r="H37" s="331">
        <v>74300</v>
      </c>
      <c r="I37" s="331">
        <v>1220</v>
      </c>
      <c r="J37" s="331">
        <v>19560</v>
      </c>
      <c r="K37" s="331">
        <v>47500</v>
      </c>
    </row>
    <row r="38" spans="1:11" x14ac:dyDescent="0.3">
      <c r="A38" s="211" t="s">
        <v>44</v>
      </c>
      <c r="B38" s="331">
        <v>520</v>
      </c>
      <c r="C38" s="331">
        <v>1940</v>
      </c>
      <c r="D38" s="331">
        <v>640</v>
      </c>
      <c r="E38" s="331">
        <v>1328</v>
      </c>
      <c r="F38" s="331">
        <v>674</v>
      </c>
      <c r="G38" s="331">
        <v>490</v>
      </c>
      <c r="H38" s="331">
        <v>1180</v>
      </c>
      <c r="I38" s="331">
        <v>950</v>
      </c>
      <c r="J38" s="331">
        <v>360</v>
      </c>
      <c r="K38" s="331">
        <v>190</v>
      </c>
    </row>
    <row r="39" spans="1:11" x14ac:dyDescent="0.3">
      <c r="A39" s="211" t="s">
        <v>45</v>
      </c>
      <c r="B39" s="331">
        <v>140</v>
      </c>
      <c r="C39" s="331">
        <v>220</v>
      </c>
      <c r="D39" s="331">
        <v>140</v>
      </c>
      <c r="E39" s="331">
        <v>216</v>
      </c>
      <c r="F39" s="331">
        <v>58</v>
      </c>
      <c r="G39" s="331">
        <v>100</v>
      </c>
      <c r="H39" s="331">
        <v>370</v>
      </c>
      <c r="I39" s="331">
        <v>270</v>
      </c>
      <c r="J39" s="331">
        <v>90</v>
      </c>
      <c r="K39" s="331">
        <v>10</v>
      </c>
    </row>
    <row r="40" spans="1:11" x14ac:dyDescent="0.3">
      <c r="A40" s="211" t="s">
        <v>46</v>
      </c>
      <c r="B40" s="331">
        <v>160</v>
      </c>
      <c r="C40" s="331">
        <v>260</v>
      </c>
      <c r="D40" s="331">
        <v>1270</v>
      </c>
      <c r="E40" s="331">
        <v>1612</v>
      </c>
      <c r="F40" s="331">
        <v>570</v>
      </c>
      <c r="G40" s="331">
        <v>360</v>
      </c>
      <c r="H40" s="331">
        <v>1250</v>
      </c>
      <c r="I40" s="331">
        <v>1110</v>
      </c>
      <c r="J40" s="331">
        <v>270</v>
      </c>
      <c r="K40" s="331">
        <v>10</v>
      </c>
    </row>
    <row r="41" spans="1:11" x14ac:dyDescent="0.3">
      <c r="A41" s="211" t="s">
        <v>47</v>
      </c>
      <c r="B41" s="331">
        <v>1220</v>
      </c>
      <c r="C41" s="331">
        <v>1940</v>
      </c>
      <c r="D41" s="331">
        <v>790</v>
      </c>
      <c r="E41" s="331">
        <v>852</v>
      </c>
      <c r="F41" s="331" t="s">
        <v>154</v>
      </c>
      <c r="G41" s="331">
        <v>250</v>
      </c>
      <c r="H41" s="331">
        <v>1750</v>
      </c>
      <c r="I41" s="331">
        <v>1240</v>
      </c>
      <c r="J41" s="331">
        <v>220</v>
      </c>
      <c r="K41" s="331"/>
    </row>
    <row r="42" spans="1:11" x14ac:dyDescent="0.3">
      <c r="A42" s="211" t="s">
        <v>48</v>
      </c>
      <c r="B42" s="331">
        <v>260</v>
      </c>
      <c r="C42" s="331">
        <v>860</v>
      </c>
      <c r="D42" s="331">
        <v>1200</v>
      </c>
      <c r="E42" s="331">
        <v>1256</v>
      </c>
      <c r="F42" s="331">
        <v>670</v>
      </c>
      <c r="G42" s="331">
        <v>800</v>
      </c>
      <c r="H42" s="331">
        <v>910</v>
      </c>
      <c r="I42" s="331">
        <v>790</v>
      </c>
      <c r="J42" s="331">
        <v>280</v>
      </c>
      <c r="K42" s="331">
        <v>340</v>
      </c>
    </row>
    <row r="43" spans="1:11" x14ac:dyDescent="0.3">
      <c r="A43" s="211" t="s">
        <v>49</v>
      </c>
      <c r="B43" s="331">
        <v>340</v>
      </c>
      <c r="C43" s="331">
        <v>1020</v>
      </c>
      <c r="D43" s="331">
        <v>1140</v>
      </c>
      <c r="E43" s="331">
        <v>1156</v>
      </c>
      <c r="F43" s="331">
        <v>307</v>
      </c>
      <c r="G43" s="331">
        <v>220</v>
      </c>
      <c r="H43" s="331">
        <v>1980</v>
      </c>
      <c r="I43" s="331">
        <v>1200</v>
      </c>
      <c r="J43" s="331">
        <v>200</v>
      </c>
      <c r="K43" s="331">
        <v>50</v>
      </c>
    </row>
    <row r="44" spans="1:11" x14ac:dyDescent="0.3">
      <c r="A44" s="211" t="s">
        <v>50</v>
      </c>
      <c r="B44" s="331">
        <v>420</v>
      </c>
      <c r="C44" s="331">
        <v>4980</v>
      </c>
      <c r="D44" s="331">
        <v>1630</v>
      </c>
      <c r="E44" s="331">
        <v>1652</v>
      </c>
      <c r="F44" s="331">
        <v>180</v>
      </c>
      <c r="G44" s="331">
        <v>560</v>
      </c>
      <c r="H44" s="331">
        <v>570</v>
      </c>
      <c r="I44" s="331">
        <v>2200</v>
      </c>
      <c r="J44" s="331">
        <v>290</v>
      </c>
      <c r="K44" s="331">
        <v>320</v>
      </c>
    </row>
    <row r="45" spans="1:11" x14ac:dyDescent="0.3">
      <c r="A45" s="211" t="s">
        <v>56</v>
      </c>
      <c r="B45" s="331">
        <v>160</v>
      </c>
      <c r="C45" s="331">
        <v>1840</v>
      </c>
      <c r="D45" s="331">
        <v>570</v>
      </c>
      <c r="E45" s="331">
        <v>588</v>
      </c>
      <c r="F45" s="331">
        <v>312</v>
      </c>
      <c r="G45" s="331">
        <v>270</v>
      </c>
      <c r="H45" s="331">
        <v>920</v>
      </c>
      <c r="I45" s="331">
        <v>970</v>
      </c>
      <c r="J45" s="331">
        <v>150</v>
      </c>
      <c r="K45" s="331">
        <v>110</v>
      </c>
    </row>
    <row r="46" spans="1:11" x14ac:dyDescent="0.3">
      <c r="A46" s="211" t="s">
        <v>51</v>
      </c>
      <c r="B46" s="331">
        <v>60</v>
      </c>
      <c r="C46" s="331">
        <v>160</v>
      </c>
      <c r="D46" s="331">
        <v>0</v>
      </c>
      <c r="E46" s="331">
        <v>24</v>
      </c>
      <c r="F46" s="331">
        <v>31</v>
      </c>
      <c r="G46" s="331">
        <v>120</v>
      </c>
      <c r="H46" s="331">
        <v>330</v>
      </c>
      <c r="I46" s="331">
        <v>220</v>
      </c>
      <c r="J46" s="331">
        <v>0</v>
      </c>
      <c r="K46" s="331">
        <v>190</v>
      </c>
    </row>
    <row r="47" spans="1:11" x14ac:dyDescent="0.3">
      <c r="A47" s="211" t="s">
        <v>52</v>
      </c>
      <c r="B47" s="331">
        <v>680</v>
      </c>
      <c r="C47" s="331">
        <v>2820</v>
      </c>
      <c r="D47" s="331">
        <v>1550</v>
      </c>
      <c r="E47" s="331">
        <v>1540</v>
      </c>
      <c r="F47" s="331">
        <v>1100</v>
      </c>
      <c r="G47" s="331">
        <v>1310</v>
      </c>
      <c r="H47" s="331">
        <v>3000</v>
      </c>
      <c r="I47" s="331">
        <v>2260</v>
      </c>
      <c r="J47" s="331">
        <v>870</v>
      </c>
      <c r="K47" s="331">
        <v>940</v>
      </c>
    </row>
    <row r="48" spans="1:11" x14ac:dyDescent="0.3">
      <c r="A48" s="211" t="s">
        <v>53</v>
      </c>
      <c r="B48" s="331">
        <v>60</v>
      </c>
      <c r="C48" s="331">
        <v>60</v>
      </c>
      <c r="D48" s="331">
        <v>30</v>
      </c>
      <c r="E48" s="331">
        <v>124</v>
      </c>
      <c r="F48" s="331">
        <v>25</v>
      </c>
      <c r="G48" s="331">
        <v>40</v>
      </c>
      <c r="H48" s="331">
        <v>180</v>
      </c>
      <c r="I48" s="331">
        <v>40</v>
      </c>
      <c r="J48" s="331">
        <v>20</v>
      </c>
      <c r="K48" s="331">
        <v>30</v>
      </c>
    </row>
    <row r="49" spans="1:11" x14ac:dyDescent="0.3">
      <c r="A49" s="211" t="s">
        <v>54</v>
      </c>
      <c r="B49" s="331">
        <v>0</v>
      </c>
      <c r="C49" s="331">
        <v>300</v>
      </c>
      <c r="D49" s="331">
        <v>0</v>
      </c>
      <c r="E49" s="331">
        <v>112</v>
      </c>
      <c r="F49" s="331">
        <v>0</v>
      </c>
      <c r="G49" s="331">
        <v>190</v>
      </c>
      <c r="H49" s="331">
        <v>230</v>
      </c>
      <c r="I49" s="331">
        <v>360</v>
      </c>
      <c r="J49" s="331">
        <v>0</v>
      </c>
      <c r="K49" s="331">
        <v>0</v>
      </c>
    </row>
    <row r="50" spans="1:11" x14ac:dyDescent="0.3">
      <c r="A50" s="211" t="s">
        <v>55</v>
      </c>
      <c r="B50" s="331"/>
      <c r="C50" s="331"/>
      <c r="D50" s="331"/>
      <c r="E50" s="331"/>
      <c r="F50" s="331"/>
      <c r="G50" s="331"/>
      <c r="H50" s="331"/>
      <c r="I50" s="331"/>
      <c r="J50" s="331"/>
      <c r="K50" s="331"/>
    </row>
    <row r="51" spans="1:11" x14ac:dyDescent="0.3">
      <c r="A51" s="208" t="s">
        <v>89</v>
      </c>
      <c r="B51" s="192">
        <v>23900</v>
      </c>
      <c r="C51" s="192">
        <v>118340</v>
      </c>
      <c r="D51" s="192">
        <v>83420</v>
      </c>
      <c r="E51" s="192">
        <v>83560</v>
      </c>
      <c r="F51" s="192">
        <v>52700</v>
      </c>
      <c r="G51" s="192">
        <v>26120</v>
      </c>
      <c r="H51" s="192">
        <v>84120</v>
      </c>
      <c r="I51" s="183">
        <v>0</v>
      </c>
      <c r="J51" s="192">
        <v>30670</v>
      </c>
      <c r="K51" s="192">
        <v>46570</v>
      </c>
    </row>
    <row r="52" spans="1:11" x14ac:dyDescent="0.3">
      <c r="A52" s="211" t="s">
        <v>21</v>
      </c>
      <c r="B52" s="331">
        <v>60</v>
      </c>
      <c r="C52" s="331">
        <v>940</v>
      </c>
      <c r="D52" s="331">
        <v>1300</v>
      </c>
      <c r="E52" s="331">
        <v>790</v>
      </c>
      <c r="F52" s="331">
        <v>784</v>
      </c>
      <c r="G52" s="331">
        <v>935</v>
      </c>
      <c r="H52" s="331">
        <v>270</v>
      </c>
      <c r="I52" s="331">
        <v>1010</v>
      </c>
      <c r="J52" s="331">
        <v>0</v>
      </c>
      <c r="K52" s="331">
        <v>280</v>
      </c>
    </row>
    <row r="53" spans="1:11" x14ac:dyDescent="0.3">
      <c r="A53" s="211" t="s">
        <v>22</v>
      </c>
      <c r="B53" s="331">
        <v>580</v>
      </c>
      <c r="C53" s="331">
        <v>320</v>
      </c>
      <c r="D53" s="331">
        <v>380</v>
      </c>
      <c r="E53" s="331">
        <v>100</v>
      </c>
      <c r="F53" s="331">
        <v>540</v>
      </c>
      <c r="G53" s="331">
        <v>150</v>
      </c>
      <c r="H53" s="331">
        <v>240</v>
      </c>
      <c r="I53" s="331">
        <v>220</v>
      </c>
      <c r="J53" s="331">
        <v>0</v>
      </c>
      <c r="K53" s="331">
        <v>180</v>
      </c>
    </row>
    <row r="54" spans="1:11" x14ac:dyDescent="0.3">
      <c r="A54" s="211" t="s">
        <v>25</v>
      </c>
      <c r="B54" s="331">
        <v>80</v>
      </c>
      <c r="C54" s="331">
        <v>800</v>
      </c>
      <c r="D54" s="331">
        <v>1360</v>
      </c>
      <c r="E54" s="331">
        <v>1130</v>
      </c>
      <c r="F54" s="331">
        <v>960</v>
      </c>
      <c r="G54" s="331">
        <v>500</v>
      </c>
      <c r="H54" s="331">
        <v>230</v>
      </c>
      <c r="I54" s="331">
        <v>1020</v>
      </c>
      <c r="J54" s="331">
        <v>0</v>
      </c>
      <c r="K54" s="331">
        <v>300</v>
      </c>
    </row>
    <row r="55" spans="1:11" x14ac:dyDescent="0.3">
      <c r="A55" s="211" t="s">
        <v>23</v>
      </c>
      <c r="B55" s="331">
        <v>0</v>
      </c>
      <c r="C55" s="331">
        <v>410</v>
      </c>
      <c r="D55" s="331">
        <v>0</v>
      </c>
      <c r="E55" s="331">
        <v>0</v>
      </c>
      <c r="F55" s="331">
        <v>552</v>
      </c>
      <c r="G55" s="331">
        <v>5</v>
      </c>
      <c r="H55" s="331">
        <v>250</v>
      </c>
      <c r="I55" s="331">
        <v>640</v>
      </c>
      <c r="J55" s="331">
        <v>50</v>
      </c>
      <c r="K55" s="331">
        <v>110</v>
      </c>
    </row>
    <row r="56" spans="1:11" x14ac:dyDescent="0.3">
      <c r="A56" s="211" t="s">
        <v>24</v>
      </c>
      <c r="B56" s="331">
        <v>60</v>
      </c>
      <c r="C56" s="331">
        <v>0</v>
      </c>
      <c r="D56" s="331">
        <v>740</v>
      </c>
      <c r="E56" s="331">
        <v>550</v>
      </c>
      <c r="F56" s="331">
        <v>496</v>
      </c>
      <c r="G56" s="331">
        <v>324</v>
      </c>
      <c r="H56" s="331">
        <v>110</v>
      </c>
      <c r="I56" s="331">
        <v>610</v>
      </c>
      <c r="J56" s="331">
        <v>10</v>
      </c>
      <c r="K56" s="331">
        <v>210</v>
      </c>
    </row>
    <row r="57" spans="1:11" x14ac:dyDescent="0.3">
      <c r="A57" s="211" t="s">
        <v>26</v>
      </c>
      <c r="B57" s="331">
        <v>1240</v>
      </c>
      <c r="C57" s="331">
        <v>1360</v>
      </c>
      <c r="D57" s="331">
        <v>1940</v>
      </c>
      <c r="E57" s="331">
        <v>1790</v>
      </c>
      <c r="F57" s="331">
        <v>1868</v>
      </c>
      <c r="G57" s="331">
        <v>298</v>
      </c>
      <c r="H57" s="331">
        <v>510</v>
      </c>
      <c r="I57" s="331">
        <v>1000</v>
      </c>
      <c r="J57" s="331">
        <v>0</v>
      </c>
      <c r="K57" s="331">
        <v>730</v>
      </c>
    </row>
    <row r="58" spans="1:11" x14ac:dyDescent="0.3">
      <c r="A58" s="211" t="s">
        <v>27</v>
      </c>
      <c r="B58" s="331">
        <v>420</v>
      </c>
      <c r="C58" s="331">
        <v>1580</v>
      </c>
      <c r="D58" s="331">
        <v>2220</v>
      </c>
      <c r="E58" s="331">
        <v>1540</v>
      </c>
      <c r="F58" s="331">
        <v>1748</v>
      </c>
      <c r="G58" s="331">
        <v>1216</v>
      </c>
      <c r="H58" s="331">
        <v>460</v>
      </c>
      <c r="I58" s="331">
        <v>1980</v>
      </c>
      <c r="J58" s="331">
        <v>0</v>
      </c>
      <c r="K58" s="331">
        <v>720</v>
      </c>
    </row>
    <row r="59" spans="1:11" x14ac:dyDescent="0.3">
      <c r="A59" s="211" t="s">
        <v>28</v>
      </c>
      <c r="B59" s="331">
        <v>500</v>
      </c>
      <c r="C59" s="331">
        <v>3500</v>
      </c>
      <c r="D59" s="331">
        <v>500</v>
      </c>
      <c r="E59" s="331">
        <v>2000</v>
      </c>
      <c r="F59" s="331">
        <v>2200</v>
      </c>
      <c r="G59" s="331">
        <v>1200</v>
      </c>
      <c r="H59" s="331">
        <v>590</v>
      </c>
      <c r="I59" s="331">
        <v>2960</v>
      </c>
      <c r="J59" s="331">
        <v>0</v>
      </c>
      <c r="K59" s="331">
        <v>100</v>
      </c>
    </row>
    <row r="60" spans="1:11" x14ac:dyDescent="0.3">
      <c r="A60" s="211" t="s">
        <v>29</v>
      </c>
      <c r="B60" s="331">
        <v>280</v>
      </c>
      <c r="C60" s="331">
        <v>740</v>
      </c>
      <c r="D60" s="331">
        <v>600</v>
      </c>
      <c r="E60" s="331">
        <v>1410</v>
      </c>
      <c r="F60" s="331">
        <v>1812</v>
      </c>
      <c r="G60" s="331">
        <v>1600</v>
      </c>
      <c r="H60" s="331">
        <v>390</v>
      </c>
      <c r="I60" s="331">
        <v>2180</v>
      </c>
      <c r="J60" s="331">
        <v>0</v>
      </c>
      <c r="K60" s="331">
        <v>110</v>
      </c>
    </row>
    <row r="61" spans="1:11" x14ac:dyDescent="0.3">
      <c r="A61" s="211" t="s">
        <v>30</v>
      </c>
      <c r="B61" s="331">
        <v>840</v>
      </c>
      <c r="C61" s="331">
        <v>1160</v>
      </c>
      <c r="D61" s="331">
        <v>1580</v>
      </c>
      <c r="E61" s="331">
        <v>1010</v>
      </c>
      <c r="F61" s="331">
        <v>836</v>
      </c>
      <c r="G61" s="331">
        <v>414</v>
      </c>
      <c r="H61" s="331">
        <v>280</v>
      </c>
      <c r="I61" s="331">
        <v>1350</v>
      </c>
      <c r="J61" s="331">
        <v>0</v>
      </c>
      <c r="K61" s="331">
        <v>780</v>
      </c>
    </row>
    <row r="62" spans="1:11" x14ac:dyDescent="0.3">
      <c r="A62" s="211" t="s">
        <v>31</v>
      </c>
      <c r="B62" s="331">
        <v>1740</v>
      </c>
      <c r="C62" s="331">
        <v>2190</v>
      </c>
      <c r="D62" s="331">
        <v>3780</v>
      </c>
      <c r="E62" s="331">
        <v>1970</v>
      </c>
      <c r="F62" s="331">
        <v>2200</v>
      </c>
      <c r="G62" s="331">
        <v>1700</v>
      </c>
      <c r="H62" s="331">
        <v>1590</v>
      </c>
      <c r="I62" s="331">
        <v>2400</v>
      </c>
      <c r="J62" s="331">
        <v>0</v>
      </c>
      <c r="K62" s="331">
        <v>790</v>
      </c>
    </row>
    <row r="63" spans="1:11" x14ac:dyDescent="0.3">
      <c r="A63" s="211" t="s">
        <v>32</v>
      </c>
      <c r="B63" s="331">
        <v>2620</v>
      </c>
      <c r="C63" s="331">
        <v>2630</v>
      </c>
      <c r="D63" s="331">
        <v>1800</v>
      </c>
      <c r="E63" s="331">
        <v>2520</v>
      </c>
      <c r="F63" s="331">
        <v>2808</v>
      </c>
      <c r="G63" s="331">
        <v>1650</v>
      </c>
      <c r="H63" s="331">
        <v>1940</v>
      </c>
      <c r="I63" s="331">
        <v>2640</v>
      </c>
      <c r="J63" s="331">
        <v>230</v>
      </c>
      <c r="K63" s="331">
        <v>2510</v>
      </c>
    </row>
    <row r="64" spans="1:11" x14ac:dyDescent="0.3">
      <c r="A64" s="211" t="s">
        <v>33</v>
      </c>
      <c r="B64" s="331">
        <v>160</v>
      </c>
      <c r="C64" s="331">
        <v>1300</v>
      </c>
      <c r="D64" s="331">
        <v>1800</v>
      </c>
      <c r="E64" s="331">
        <v>900</v>
      </c>
      <c r="F64" s="331">
        <v>932</v>
      </c>
      <c r="G64" s="331">
        <v>100</v>
      </c>
      <c r="H64" s="331">
        <v>490</v>
      </c>
      <c r="I64" s="331">
        <v>1320</v>
      </c>
      <c r="J64" s="331">
        <v>40</v>
      </c>
      <c r="K64" s="331">
        <v>660</v>
      </c>
    </row>
    <row r="65" spans="1:11" x14ac:dyDescent="0.3">
      <c r="A65" s="208" t="s">
        <v>86</v>
      </c>
      <c r="B65" s="192">
        <v>42700</v>
      </c>
      <c r="C65" s="192">
        <v>184580</v>
      </c>
      <c r="D65" s="192">
        <v>326960</v>
      </c>
      <c r="E65" s="192">
        <v>130268</v>
      </c>
      <c r="F65" s="192">
        <v>107542</v>
      </c>
      <c r="G65" s="192">
        <v>45010</v>
      </c>
      <c r="H65" s="192">
        <v>117860</v>
      </c>
      <c r="I65" s="183">
        <v>100</v>
      </c>
      <c r="J65" s="192">
        <v>42930</v>
      </c>
      <c r="K65" s="192">
        <v>60560</v>
      </c>
    </row>
    <row r="66" spans="1:11" x14ac:dyDescent="0.3">
      <c r="A66" s="211" t="s">
        <v>63</v>
      </c>
      <c r="B66" s="331">
        <v>0</v>
      </c>
      <c r="C66" s="331">
        <v>600</v>
      </c>
      <c r="D66" s="331">
        <v>380</v>
      </c>
      <c r="E66" s="331">
        <v>672</v>
      </c>
      <c r="F66" s="331">
        <v>0</v>
      </c>
      <c r="G66" s="331">
        <v>200</v>
      </c>
      <c r="H66" s="331">
        <v>560</v>
      </c>
      <c r="I66" s="331">
        <v>0</v>
      </c>
      <c r="J66" s="331">
        <v>0</v>
      </c>
      <c r="K66" s="331">
        <v>0</v>
      </c>
    </row>
    <row r="67" spans="1:11" x14ac:dyDescent="0.3">
      <c r="A67" s="211" t="s">
        <v>64</v>
      </c>
      <c r="B67" s="331">
        <v>880</v>
      </c>
      <c r="C67" s="331">
        <v>4400</v>
      </c>
      <c r="D67" s="331">
        <v>2510</v>
      </c>
      <c r="E67" s="331">
        <v>3200</v>
      </c>
      <c r="F67" s="331">
        <v>1540</v>
      </c>
      <c r="G67" s="331">
        <v>710</v>
      </c>
      <c r="H67" s="331">
        <v>3360</v>
      </c>
      <c r="I67" s="331">
        <v>0</v>
      </c>
      <c r="J67" s="331">
        <v>1820</v>
      </c>
      <c r="K67" s="331">
        <v>2300</v>
      </c>
    </row>
    <row r="68" spans="1:11" x14ac:dyDescent="0.3">
      <c r="A68" s="211" t="s">
        <v>65</v>
      </c>
      <c r="B68" s="331">
        <v>1220</v>
      </c>
      <c r="C68" s="331">
        <v>5580</v>
      </c>
      <c r="D68" s="331">
        <v>1900</v>
      </c>
      <c r="E68" s="331">
        <v>1956</v>
      </c>
      <c r="F68" s="331">
        <v>205</v>
      </c>
      <c r="G68" s="331">
        <v>660</v>
      </c>
      <c r="H68" s="331">
        <v>2140</v>
      </c>
      <c r="I68" s="331">
        <v>0</v>
      </c>
      <c r="J68" s="331">
        <v>1050</v>
      </c>
      <c r="K68" s="331">
        <v>830</v>
      </c>
    </row>
    <row r="69" spans="1:11" x14ac:dyDescent="0.3">
      <c r="A69" s="219" t="s">
        <v>66</v>
      </c>
      <c r="B69" s="331">
        <v>4320</v>
      </c>
      <c r="C69" s="331">
        <v>6860</v>
      </c>
      <c r="D69" s="331">
        <v>3700</v>
      </c>
      <c r="E69" s="331">
        <v>3328</v>
      </c>
      <c r="F69" s="331">
        <v>997</v>
      </c>
      <c r="G69" s="331">
        <v>1340</v>
      </c>
      <c r="H69" s="331">
        <v>3680</v>
      </c>
      <c r="I69" s="331">
        <v>0</v>
      </c>
      <c r="J69" s="331">
        <v>1050</v>
      </c>
      <c r="K69" s="331">
        <v>3270</v>
      </c>
    </row>
    <row r="70" spans="1:11" x14ac:dyDescent="0.3">
      <c r="A70" s="219" t="s">
        <v>67</v>
      </c>
      <c r="B70" s="331">
        <v>1200</v>
      </c>
      <c r="C70" s="331">
        <v>7200</v>
      </c>
      <c r="D70" s="331">
        <v>3820</v>
      </c>
      <c r="E70" s="331">
        <v>4116</v>
      </c>
      <c r="F70" s="331">
        <v>2997</v>
      </c>
      <c r="G70" s="331">
        <v>1140</v>
      </c>
      <c r="H70" s="331">
        <v>2110</v>
      </c>
      <c r="I70" s="331">
        <v>0</v>
      </c>
      <c r="J70" s="331">
        <v>1010</v>
      </c>
      <c r="K70" s="331">
        <v>1660</v>
      </c>
    </row>
    <row r="71" spans="1:11" x14ac:dyDescent="0.3">
      <c r="A71" s="219" t="s">
        <v>68</v>
      </c>
      <c r="B71" s="331">
        <v>0</v>
      </c>
      <c r="C71" s="331">
        <v>40</v>
      </c>
      <c r="D71" s="331">
        <v>40</v>
      </c>
      <c r="E71" s="331">
        <v>16</v>
      </c>
      <c r="F71" s="331">
        <v>4</v>
      </c>
      <c r="G71" s="331">
        <v>10</v>
      </c>
      <c r="H71" s="331">
        <v>770</v>
      </c>
      <c r="I71" s="331">
        <v>0</v>
      </c>
      <c r="J71" s="331">
        <v>190</v>
      </c>
      <c r="K71" s="331">
        <v>0</v>
      </c>
    </row>
    <row r="72" spans="1:11" x14ac:dyDescent="0.3">
      <c r="A72" s="219" t="s">
        <v>69</v>
      </c>
      <c r="B72" s="331">
        <v>340</v>
      </c>
      <c r="C72" s="331">
        <v>2520</v>
      </c>
      <c r="D72" s="331">
        <v>1350</v>
      </c>
      <c r="E72" s="331">
        <v>752</v>
      </c>
      <c r="F72" s="331">
        <v>1018</v>
      </c>
      <c r="G72" s="331">
        <v>4300</v>
      </c>
      <c r="H72" s="331">
        <v>2690</v>
      </c>
      <c r="I72" s="331">
        <v>910</v>
      </c>
      <c r="J72" s="331">
        <v>860</v>
      </c>
      <c r="K72" s="331">
        <v>1910</v>
      </c>
    </row>
    <row r="73" spans="1:11" x14ac:dyDescent="0.3">
      <c r="A73" s="219" t="s">
        <v>70</v>
      </c>
      <c r="B73" s="331">
        <v>720</v>
      </c>
      <c r="C73" s="331">
        <v>1530</v>
      </c>
      <c r="D73" s="331">
        <v>1780</v>
      </c>
      <c r="E73" s="331">
        <v>1540</v>
      </c>
      <c r="F73" s="331">
        <v>1169</v>
      </c>
      <c r="G73" s="331">
        <v>370</v>
      </c>
      <c r="H73" s="331">
        <v>2200</v>
      </c>
      <c r="I73" s="331">
        <v>120</v>
      </c>
      <c r="J73" s="331">
        <v>820</v>
      </c>
      <c r="K73" s="331">
        <v>2160</v>
      </c>
    </row>
    <row r="74" spans="1:11" x14ac:dyDescent="0.3">
      <c r="A74" s="219" t="s">
        <v>71</v>
      </c>
      <c r="B74" s="331">
        <v>260</v>
      </c>
      <c r="C74" s="331">
        <v>5870</v>
      </c>
      <c r="D74" s="331">
        <v>9280</v>
      </c>
      <c r="E74" s="331">
        <v>4468</v>
      </c>
      <c r="F74" s="331">
        <v>1164</v>
      </c>
      <c r="G74" s="331">
        <v>2130</v>
      </c>
      <c r="H74" s="331">
        <v>5250</v>
      </c>
      <c r="I74" s="331">
        <v>0</v>
      </c>
      <c r="J74" s="331">
        <v>3170</v>
      </c>
      <c r="K74" s="331">
        <v>3170</v>
      </c>
    </row>
    <row r="75" spans="1:11" x14ac:dyDescent="0.3">
      <c r="A75" s="219" t="s">
        <v>72</v>
      </c>
      <c r="B75" s="331">
        <v>0</v>
      </c>
      <c r="C75" s="331">
        <v>0</v>
      </c>
      <c r="D75" s="331">
        <v>0</v>
      </c>
      <c r="E75" s="331">
        <v>160</v>
      </c>
      <c r="F75" s="331">
        <v>100</v>
      </c>
      <c r="G75" s="331">
        <v>130</v>
      </c>
      <c r="H75" s="331">
        <v>30</v>
      </c>
      <c r="I75" s="331">
        <v>80</v>
      </c>
      <c r="J75" s="331">
        <v>490</v>
      </c>
      <c r="K75" s="331">
        <v>240</v>
      </c>
    </row>
    <row r="76" spans="1:11" x14ac:dyDescent="0.3">
      <c r="A76" s="219" t="s">
        <v>73</v>
      </c>
      <c r="B76" s="331">
        <v>0</v>
      </c>
      <c r="C76" s="331">
        <v>500</v>
      </c>
      <c r="D76" s="331">
        <v>150</v>
      </c>
      <c r="E76" s="331">
        <v>152</v>
      </c>
      <c r="F76" s="331">
        <v>250</v>
      </c>
      <c r="G76" s="331">
        <v>100</v>
      </c>
      <c r="H76" s="331">
        <v>200</v>
      </c>
      <c r="I76" s="331">
        <v>100</v>
      </c>
      <c r="J76" s="331">
        <v>100</v>
      </c>
      <c r="K76" s="331">
        <v>300</v>
      </c>
    </row>
    <row r="77" spans="1:11" x14ac:dyDescent="0.3">
      <c r="A77" s="208" t="s">
        <v>90</v>
      </c>
      <c r="B77" s="335">
        <v>4800</v>
      </c>
      <c r="C77" s="335">
        <v>14000</v>
      </c>
      <c r="D77" s="335">
        <v>13500</v>
      </c>
      <c r="E77" s="335">
        <v>11200</v>
      </c>
      <c r="F77" s="335">
        <v>5000</v>
      </c>
      <c r="G77" s="335">
        <v>5700</v>
      </c>
      <c r="H77" s="335">
        <v>7600</v>
      </c>
      <c r="I77" s="331">
        <v>0</v>
      </c>
      <c r="J77" s="335">
        <v>7200</v>
      </c>
      <c r="K77" s="335">
        <v>7000</v>
      </c>
    </row>
    <row r="78" spans="1:11" x14ac:dyDescent="0.3">
      <c r="A78" s="211" t="s">
        <v>74</v>
      </c>
      <c r="B78" s="331">
        <v>760</v>
      </c>
      <c r="C78" s="335">
        <v>1220</v>
      </c>
      <c r="D78" s="335">
        <v>1150</v>
      </c>
      <c r="E78" s="331">
        <v>796</v>
      </c>
      <c r="F78" s="331">
        <v>494</v>
      </c>
      <c r="G78" s="331">
        <v>740</v>
      </c>
      <c r="H78" s="335">
        <v>1820</v>
      </c>
      <c r="I78" s="331">
        <v>290</v>
      </c>
      <c r="J78" s="331">
        <v>210</v>
      </c>
      <c r="K78" s="335">
        <v>1380</v>
      </c>
    </row>
    <row r="79" spans="1:11" x14ac:dyDescent="0.3">
      <c r="A79" s="211" t="s">
        <v>75</v>
      </c>
      <c r="B79" s="335">
        <v>1460</v>
      </c>
      <c r="C79" s="331">
        <v>220</v>
      </c>
      <c r="D79" s="331">
        <v>560</v>
      </c>
      <c r="E79" s="331">
        <v>636</v>
      </c>
      <c r="F79" s="331">
        <v>62</v>
      </c>
      <c r="G79" s="331">
        <v>500</v>
      </c>
      <c r="H79" s="335">
        <v>1080</v>
      </c>
      <c r="I79" s="331">
        <v>550</v>
      </c>
      <c r="J79" s="331">
        <v>670</v>
      </c>
      <c r="K79" s="335">
        <v>1220</v>
      </c>
    </row>
    <row r="80" spans="1:11" x14ac:dyDescent="0.3">
      <c r="A80" s="211" t="s">
        <v>76</v>
      </c>
      <c r="B80" s="331">
        <v>0</v>
      </c>
      <c r="C80" s="331">
        <v>460</v>
      </c>
      <c r="D80" s="331">
        <v>160</v>
      </c>
      <c r="E80" s="331">
        <v>300</v>
      </c>
      <c r="F80" s="331">
        <v>360</v>
      </c>
      <c r="G80" s="331">
        <v>320</v>
      </c>
      <c r="H80" s="335">
        <v>2070</v>
      </c>
      <c r="I80" s="331">
        <v>320</v>
      </c>
      <c r="J80" s="331">
        <v>360</v>
      </c>
      <c r="K80" s="335">
        <v>1400</v>
      </c>
    </row>
    <row r="81" spans="1:11" x14ac:dyDescent="0.3">
      <c r="A81" s="211" t="s">
        <v>77</v>
      </c>
      <c r="B81" s="331">
        <v>800</v>
      </c>
      <c r="C81" s="335">
        <v>1600</v>
      </c>
      <c r="D81" s="335">
        <v>1020</v>
      </c>
      <c r="E81" s="331">
        <v>872</v>
      </c>
      <c r="F81" s="331">
        <v>0</v>
      </c>
      <c r="G81" s="331">
        <v>360</v>
      </c>
      <c r="H81" s="335">
        <v>1050</v>
      </c>
      <c r="I81" s="331">
        <v>270</v>
      </c>
      <c r="J81" s="331">
        <v>300</v>
      </c>
      <c r="K81" s="335">
        <v>1680</v>
      </c>
    </row>
    <row r="82" spans="1:11" x14ac:dyDescent="0.3">
      <c r="A82" s="211" t="s">
        <v>78</v>
      </c>
      <c r="B82" s="331">
        <v>660</v>
      </c>
      <c r="C82" s="335">
        <v>1980</v>
      </c>
      <c r="D82" s="331">
        <v>380</v>
      </c>
      <c r="E82" s="331">
        <v>556</v>
      </c>
      <c r="F82" s="331">
        <v>374</v>
      </c>
      <c r="G82" s="331">
        <v>280</v>
      </c>
      <c r="H82" s="335">
        <v>3580</v>
      </c>
      <c r="I82" s="331">
        <v>160</v>
      </c>
      <c r="J82" s="331">
        <v>270</v>
      </c>
      <c r="K82" s="331">
        <v>800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5421-1223-4E6F-A26A-87B81DC278F8}">
  <sheetPr>
    <tabColor rgb="FF00B0F0"/>
  </sheetPr>
  <dimension ref="A1:K8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S14" sqref="S14"/>
    </sheetView>
  </sheetViews>
  <sheetFormatPr defaultColWidth="9.109375" defaultRowHeight="14.4" x14ac:dyDescent="0.3"/>
  <cols>
    <col min="1" max="1" width="19.88671875" style="183" customWidth="1"/>
    <col min="2" max="10" width="9.109375" style="183"/>
    <col min="11" max="11" width="9.6640625" style="183" customWidth="1"/>
    <col min="12" max="16384" width="9.109375" style="183"/>
  </cols>
  <sheetData>
    <row r="1" spans="1:11" x14ac:dyDescent="0.3">
      <c r="B1" s="336" t="s">
        <v>155</v>
      </c>
      <c r="C1" s="337"/>
      <c r="D1" s="337"/>
      <c r="E1" s="337"/>
      <c r="F1" s="337"/>
      <c r="G1" s="337"/>
      <c r="H1" s="337"/>
      <c r="I1" s="337"/>
      <c r="J1" s="337"/>
      <c r="K1" s="337"/>
    </row>
    <row r="2" spans="1:11" x14ac:dyDescent="0.3">
      <c r="B2" s="338" t="s">
        <v>2</v>
      </c>
      <c r="C2" s="338" t="s">
        <v>3</v>
      </c>
      <c r="D2" s="338" t="s">
        <v>150</v>
      </c>
      <c r="E2" s="338" t="s">
        <v>151</v>
      </c>
      <c r="F2" s="338" t="s">
        <v>152</v>
      </c>
      <c r="G2" s="338" t="s">
        <v>7</v>
      </c>
      <c r="H2" s="338" t="s">
        <v>8</v>
      </c>
      <c r="I2" s="338" t="s">
        <v>10</v>
      </c>
      <c r="J2" s="338" t="s">
        <v>153</v>
      </c>
      <c r="K2" s="338" t="s">
        <v>11</v>
      </c>
    </row>
    <row r="3" spans="1:11" x14ac:dyDescent="0.3">
      <c r="A3" s="343" t="s">
        <v>87</v>
      </c>
      <c r="B3" s="343">
        <f>+TOT!D6</f>
        <v>35800</v>
      </c>
      <c r="C3" s="343">
        <f>+TOT!F6</f>
        <v>37000</v>
      </c>
      <c r="D3" s="343">
        <f>+TOT!H6</f>
        <v>41800</v>
      </c>
      <c r="E3" s="343">
        <f>+TOT!J6</f>
        <v>38200</v>
      </c>
      <c r="F3" s="343">
        <f>+TOT!L6</f>
        <v>23250</v>
      </c>
      <c r="G3" s="343">
        <f>+TOT!N6</f>
        <v>14300</v>
      </c>
      <c r="H3" s="343">
        <f>+TOT!P6</f>
        <v>23500</v>
      </c>
      <c r="I3" s="343">
        <f>+TOT!T6</f>
        <v>13600</v>
      </c>
      <c r="J3" s="343">
        <f>+TOT!R6</f>
        <v>15000</v>
      </c>
      <c r="K3" s="343">
        <f>+TOT!V6</f>
        <v>31600</v>
      </c>
    </row>
    <row r="4" spans="1:11" x14ac:dyDescent="0.3">
      <c r="A4" s="344" t="s">
        <v>100</v>
      </c>
      <c r="B4" s="344">
        <f>+TOT!D7</f>
        <v>1400</v>
      </c>
      <c r="C4" s="344">
        <f>+TOT!F7</f>
        <v>2660</v>
      </c>
      <c r="D4" s="344">
        <f>+TOT!H7</f>
        <v>2450</v>
      </c>
      <c r="E4" s="344">
        <f>+TOT!J7</f>
        <v>2206</v>
      </c>
      <c r="F4" s="344">
        <f>+TOT!L7</f>
        <v>1430</v>
      </c>
      <c r="G4" s="344">
        <f>+TOT!N7</f>
        <v>860</v>
      </c>
      <c r="H4" s="344">
        <f>+TOT!P7</f>
        <v>1630</v>
      </c>
      <c r="I4" s="344">
        <f>+TOT!T7</f>
        <v>1020</v>
      </c>
      <c r="J4" s="344">
        <f>+TOT!R7</f>
        <v>860</v>
      </c>
      <c r="K4" s="344">
        <f>+TOT!V7</f>
        <v>1660</v>
      </c>
    </row>
    <row r="5" spans="1:11" x14ac:dyDescent="0.3">
      <c r="A5" s="344" t="s">
        <v>101</v>
      </c>
      <c r="B5" s="344">
        <f>+TOT!D8</f>
        <v>6360</v>
      </c>
      <c r="C5" s="344">
        <f>+TOT!F8</f>
        <v>11500</v>
      </c>
      <c r="D5" s="344">
        <f>+TOT!H8</f>
        <v>10140</v>
      </c>
      <c r="E5" s="344">
        <f>+TOT!J8</f>
        <v>10212</v>
      </c>
      <c r="F5" s="344">
        <f>+TOT!L8</f>
        <v>6350</v>
      </c>
      <c r="G5" s="344">
        <f>+TOT!N8</f>
        <v>2425</v>
      </c>
      <c r="H5" s="344">
        <f>+TOT!P8</f>
        <v>6400</v>
      </c>
      <c r="I5" s="344">
        <f>+TOT!T8</f>
        <v>3540</v>
      </c>
      <c r="J5" s="344">
        <f>+TOT!R8</f>
        <v>3530</v>
      </c>
      <c r="K5" s="344">
        <f>+TOT!V8</f>
        <v>5790</v>
      </c>
    </row>
    <row r="6" spans="1:11" x14ac:dyDescent="0.3">
      <c r="A6" s="344" t="s">
        <v>102</v>
      </c>
      <c r="B6" s="344">
        <f>+TOT!D9</f>
        <v>4140</v>
      </c>
      <c r="C6" s="344">
        <f>+TOT!F9</f>
        <v>10520</v>
      </c>
      <c r="D6" s="344">
        <f>+TOT!H9</f>
        <v>7920</v>
      </c>
      <c r="E6" s="344">
        <f>+TOT!J9</f>
        <v>7712</v>
      </c>
      <c r="F6" s="344">
        <f>+TOT!L9</f>
        <v>4793</v>
      </c>
      <c r="G6" s="344">
        <f>+TOT!N9</f>
        <v>2140</v>
      </c>
      <c r="H6" s="344">
        <f>+TOT!P9</f>
        <v>2750</v>
      </c>
      <c r="I6" s="344">
        <f>+TOT!T9</f>
        <v>2820</v>
      </c>
      <c r="J6" s="344">
        <f>+TOT!R9</f>
        <v>2320</v>
      </c>
      <c r="K6" s="344">
        <f>+TOT!V9</f>
        <v>3060</v>
      </c>
    </row>
    <row r="7" spans="1:11" x14ac:dyDescent="0.3">
      <c r="A7" s="344" t="s">
        <v>34</v>
      </c>
      <c r="B7" s="344">
        <f>+TOT!D10</f>
        <v>1040</v>
      </c>
      <c r="C7" s="344">
        <f>+TOT!F10</f>
        <v>2720</v>
      </c>
      <c r="D7" s="344">
        <f>+TOT!H10</f>
        <v>1930</v>
      </c>
      <c r="E7" s="344">
        <f>+TOT!J10</f>
        <v>1880</v>
      </c>
      <c r="F7" s="344">
        <f>+TOT!L10</f>
        <v>1325</v>
      </c>
      <c r="G7" s="344">
        <f>+TOT!N10</f>
        <v>330</v>
      </c>
      <c r="H7" s="344">
        <f>+TOT!P10</f>
        <v>2400</v>
      </c>
      <c r="I7" s="344">
        <f>+TOT!T10</f>
        <v>750</v>
      </c>
      <c r="J7" s="344">
        <f>+TOT!R10</f>
        <v>670</v>
      </c>
      <c r="K7" s="344">
        <f>+TOT!V10</f>
        <v>1030</v>
      </c>
    </row>
    <row r="8" spans="1:11" x14ac:dyDescent="0.3">
      <c r="A8" s="344" t="s">
        <v>103</v>
      </c>
      <c r="B8" s="344">
        <f>+TOT!D11</f>
        <v>1340</v>
      </c>
      <c r="C8" s="344">
        <f>+TOT!F11</f>
        <v>2480</v>
      </c>
      <c r="D8" s="344">
        <f>+TOT!H11</f>
        <v>1970</v>
      </c>
      <c r="E8" s="344">
        <f>+TOT!J11</f>
        <v>1784</v>
      </c>
      <c r="F8" s="344">
        <f>+TOT!L11</f>
        <v>1514</v>
      </c>
      <c r="G8" s="344">
        <f>+TOT!N11</f>
        <v>770</v>
      </c>
      <c r="H8" s="344">
        <f>+TOT!P11</f>
        <v>1150</v>
      </c>
      <c r="I8" s="344">
        <f>+TOT!T11</f>
        <v>850</v>
      </c>
      <c r="J8" s="344">
        <f>+TOT!R11</f>
        <v>890</v>
      </c>
      <c r="K8" s="344">
        <f>+TOT!V11</f>
        <v>1910</v>
      </c>
    </row>
    <row r="9" spans="1:11" x14ac:dyDescent="0.3">
      <c r="A9" s="344" t="s">
        <v>104</v>
      </c>
      <c r="B9" s="344">
        <f>+TOT!D12</f>
        <v>3080</v>
      </c>
      <c r="C9" s="344">
        <f>+TOT!F12</f>
        <v>5040</v>
      </c>
      <c r="D9" s="344">
        <f>+TOT!H12</f>
        <v>4210</v>
      </c>
      <c r="E9" s="344">
        <f>+TOT!J12</f>
        <v>4050</v>
      </c>
      <c r="F9" s="344">
        <f>+TOT!L12</f>
        <v>2338</v>
      </c>
      <c r="G9" s="344">
        <f>+TOT!N12</f>
        <v>1305</v>
      </c>
      <c r="H9" s="344">
        <f>+TOT!P12</f>
        <v>2490</v>
      </c>
      <c r="I9" s="344">
        <f>+TOT!T12</f>
        <v>1840</v>
      </c>
      <c r="J9" s="344">
        <f>+TOT!R12</f>
        <v>1690</v>
      </c>
      <c r="K9" s="344">
        <f>+TOT!V12</f>
        <v>2960</v>
      </c>
    </row>
    <row r="10" spans="1:11" x14ac:dyDescent="0.3">
      <c r="A10" s="344" t="s">
        <v>105</v>
      </c>
      <c r="B10" s="344">
        <f>+TOT!D13</f>
        <v>6760</v>
      </c>
      <c r="C10" s="344">
        <f>+TOT!F13</f>
        <v>9340</v>
      </c>
      <c r="D10" s="344">
        <f>+TOT!H13</f>
        <v>7170</v>
      </c>
      <c r="E10" s="344">
        <f>+TOT!J13</f>
        <v>6052</v>
      </c>
      <c r="F10" s="344">
        <f>+TOT!L13</f>
        <v>4486</v>
      </c>
      <c r="G10" s="344">
        <f>+TOT!N13</f>
        <v>2830</v>
      </c>
      <c r="H10" s="344">
        <f>+TOT!P13</f>
        <v>4570</v>
      </c>
      <c r="I10" s="344">
        <f>+TOT!T13</f>
        <v>3320</v>
      </c>
      <c r="J10" s="344">
        <f>+TOT!R13</f>
        <v>3010</v>
      </c>
      <c r="K10" s="344">
        <f>+TOT!V13</f>
        <v>4080</v>
      </c>
    </row>
    <row r="11" spans="1:11" x14ac:dyDescent="0.3">
      <c r="A11" s="343" t="s">
        <v>85</v>
      </c>
      <c r="B11" s="343">
        <f>+TOT!D14</f>
        <v>33000</v>
      </c>
      <c r="C11" s="343">
        <f>+TOT!F14</f>
        <v>89000</v>
      </c>
      <c r="D11" s="343">
        <f>+TOT!H14</f>
        <v>70600</v>
      </c>
      <c r="E11" s="343">
        <f>+TOT!J14</f>
        <v>71800</v>
      </c>
      <c r="F11" s="343">
        <f>+TOT!L14</f>
        <v>44350</v>
      </c>
      <c r="G11" s="343">
        <f>+TOT!N14</f>
        <v>25100</v>
      </c>
      <c r="H11" s="343">
        <f>+TOT!P14</f>
        <v>36000</v>
      </c>
      <c r="I11" s="343">
        <f>+TOT!T14</f>
        <v>24500</v>
      </c>
      <c r="J11" s="343">
        <f>+TOT!R14</f>
        <v>27100</v>
      </c>
      <c r="K11" s="343">
        <f>+TOT!V14</f>
        <v>44100</v>
      </c>
    </row>
    <row r="12" spans="1:11" x14ac:dyDescent="0.3">
      <c r="A12" s="344" t="s">
        <v>57</v>
      </c>
      <c r="B12" s="344">
        <f>+TOT!D15</f>
        <v>3020</v>
      </c>
      <c r="C12" s="344">
        <f>+TOT!F15</f>
        <v>10140</v>
      </c>
      <c r="D12" s="344">
        <f>+TOT!H15</f>
        <v>8100</v>
      </c>
      <c r="E12" s="344">
        <f>+TOT!J15</f>
        <v>8012</v>
      </c>
      <c r="F12" s="344">
        <f>+TOT!L15</f>
        <v>4427</v>
      </c>
      <c r="G12" s="344">
        <f>+TOT!N15</f>
        <v>2830</v>
      </c>
      <c r="H12" s="344">
        <f>+TOT!P15</f>
        <v>4460</v>
      </c>
      <c r="I12" s="344">
        <f>+TOT!T15</f>
        <v>2640</v>
      </c>
      <c r="J12" s="344">
        <f>+TOT!R15</f>
        <v>3050</v>
      </c>
      <c r="K12" s="344">
        <f>+TOT!V15</f>
        <v>3910</v>
      </c>
    </row>
    <row r="13" spans="1:11" x14ac:dyDescent="0.3">
      <c r="A13" s="344" t="s">
        <v>58</v>
      </c>
      <c r="B13" s="344">
        <f>+TOT!D16</f>
        <v>12880</v>
      </c>
      <c r="C13" s="344">
        <f>+TOT!F16</f>
        <v>30680</v>
      </c>
      <c r="D13" s="344">
        <f>+TOT!H16</f>
        <v>29100</v>
      </c>
      <c r="E13" s="344">
        <f>+TOT!J16</f>
        <v>27652</v>
      </c>
      <c r="F13" s="344">
        <f>+TOT!L16</f>
        <v>17565</v>
      </c>
      <c r="G13" s="344">
        <f>+TOT!N16</f>
        <v>8460</v>
      </c>
      <c r="H13" s="344">
        <f>+TOT!P16</f>
        <v>14100</v>
      </c>
      <c r="I13" s="344">
        <f>+TOT!T16</f>
        <v>9890</v>
      </c>
      <c r="J13" s="344">
        <f>+TOT!R16</f>
        <v>9650</v>
      </c>
      <c r="K13" s="344">
        <f>+TOT!V16</f>
        <v>16820</v>
      </c>
    </row>
    <row r="14" spans="1:11" x14ac:dyDescent="0.3">
      <c r="A14" s="344" t="s">
        <v>59</v>
      </c>
      <c r="B14" s="344">
        <f>+TOT!D17</f>
        <v>8360</v>
      </c>
      <c r="C14" s="344">
        <f>+TOT!F17</f>
        <v>15640</v>
      </c>
      <c r="D14" s="344">
        <f>+TOT!H17</f>
        <v>13820</v>
      </c>
      <c r="E14" s="344">
        <f>+TOT!J17</f>
        <v>13604</v>
      </c>
      <c r="F14" s="344">
        <f>+TOT!L17</f>
        <v>9788</v>
      </c>
      <c r="G14" s="344">
        <f>+TOT!N17</f>
        <v>4790</v>
      </c>
      <c r="H14" s="344">
        <f>+TOT!P17</f>
        <v>7840</v>
      </c>
      <c r="I14" s="344">
        <f>+TOT!T17</f>
        <v>5520</v>
      </c>
      <c r="J14" s="344">
        <f>+TOT!R17</f>
        <v>4790</v>
      </c>
      <c r="K14" s="344">
        <f>+TOT!V17</f>
        <v>9260</v>
      </c>
    </row>
    <row r="15" spans="1:11" x14ac:dyDescent="0.3">
      <c r="A15" s="344" t="s">
        <v>60</v>
      </c>
      <c r="B15" s="344">
        <f>+TOT!D18</f>
        <v>5920</v>
      </c>
      <c r="C15" s="344">
        <f>+TOT!F18</f>
        <v>15580</v>
      </c>
      <c r="D15" s="344">
        <f>+TOT!H18</f>
        <v>14120</v>
      </c>
      <c r="E15" s="344">
        <f>+TOT!J18</f>
        <v>13592</v>
      </c>
      <c r="F15" s="344">
        <f>+TOT!L18</f>
        <v>8732</v>
      </c>
      <c r="G15" s="344">
        <f>+TOT!N18</f>
        <v>4535</v>
      </c>
      <c r="H15" s="344">
        <f>+TOT!P18</f>
        <v>6170</v>
      </c>
      <c r="I15" s="344">
        <f>+TOT!T18</f>
        <v>4090</v>
      </c>
      <c r="J15" s="344">
        <f>+TOT!R18</f>
        <v>5250</v>
      </c>
      <c r="K15" s="344">
        <f>+TOT!V18</f>
        <v>7290</v>
      </c>
    </row>
    <row r="16" spans="1:11" x14ac:dyDescent="0.3">
      <c r="A16" s="344" t="s">
        <v>61</v>
      </c>
      <c r="B16" s="344">
        <f>+TOT!D19</f>
        <v>1920</v>
      </c>
      <c r="C16" s="344">
        <f>+TOT!F19</f>
        <v>5700</v>
      </c>
      <c r="D16" s="344">
        <f>+TOT!H19</f>
        <v>4280</v>
      </c>
      <c r="E16" s="344">
        <f>+TOT!J19</f>
        <v>4328</v>
      </c>
      <c r="F16" s="344">
        <f>+TOT!L19</f>
        <v>3790</v>
      </c>
      <c r="G16" s="344">
        <f>+TOT!N19</f>
        <v>1055</v>
      </c>
      <c r="H16" s="344">
        <f>+TOT!P19</f>
        <v>3880</v>
      </c>
      <c r="I16" s="344">
        <f>+TOT!T19</f>
        <v>2520</v>
      </c>
      <c r="J16" s="344">
        <f>+TOT!R19</f>
        <v>2810</v>
      </c>
      <c r="K16" s="344">
        <f>+TOT!V19</f>
        <v>3170</v>
      </c>
    </row>
    <row r="17" spans="1:11" x14ac:dyDescent="0.3">
      <c r="A17" s="344" t="s">
        <v>62</v>
      </c>
      <c r="B17" s="344">
        <f>+TOT!D20</f>
        <v>3340</v>
      </c>
      <c r="C17" s="344">
        <f>+TOT!F20</f>
        <v>9440</v>
      </c>
      <c r="D17" s="344">
        <f>+TOT!H20</f>
        <v>7120</v>
      </c>
      <c r="E17" s="344">
        <f>+TOT!J20</f>
        <v>7366</v>
      </c>
      <c r="F17" s="344">
        <f>+TOT!L20</f>
        <v>3644</v>
      </c>
      <c r="G17" s="344">
        <f>+TOT!N20</f>
        <v>2410</v>
      </c>
      <c r="H17" s="344">
        <f>+TOT!P20</f>
        <v>3900</v>
      </c>
      <c r="I17" s="344">
        <f>+TOT!T20</f>
        <v>2230</v>
      </c>
      <c r="J17" s="344">
        <f>+TOT!R20</f>
        <v>2940</v>
      </c>
      <c r="K17" s="344">
        <f>+TOT!V20</f>
        <v>3280</v>
      </c>
    </row>
    <row r="18" spans="1:11" x14ac:dyDescent="0.3">
      <c r="A18" s="343" t="s">
        <v>91</v>
      </c>
      <c r="B18" s="343">
        <f>+TOT!D21</f>
        <v>122000</v>
      </c>
      <c r="C18" s="343">
        <f>+TOT!F21</f>
        <v>310500</v>
      </c>
      <c r="D18" s="343">
        <f>+TOT!H21</f>
        <v>250200</v>
      </c>
      <c r="E18" s="343">
        <f>+TOT!J21</f>
        <v>247200</v>
      </c>
      <c r="F18" s="343">
        <f>+TOT!L21</f>
        <v>163800</v>
      </c>
      <c r="G18" s="343">
        <f>+TOT!N21</f>
        <v>81900</v>
      </c>
      <c r="H18" s="343">
        <f>+TOT!P21</f>
        <v>125000</v>
      </c>
      <c r="I18" s="343">
        <f>+TOT!T21</f>
        <v>119900</v>
      </c>
      <c r="J18" s="343">
        <f>+TOT!R21</f>
        <v>94000</v>
      </c>
      <c r="K18" s="343">
        <f>+TOT!V21</f>
        <v>129720</v>
      </c>
    </row>
    <row r="19" spans="1:11" x14ac:dyDescent="0.3">
      <c r="A19" s="344" t="s">
        <v>14</v>
      </c>
      <c r="B19" s="344">
        <f>+TOT!D22</f>
        <v>13780</v>
      </c>
      <c r="C19" s="344">
        <f>+TOT!F22</f>
        <v>29100</v>
      </c>
      <c r="D19" s="344">
        <f>+TOT!H22</f>
        <v>26470</v>
      </c>
      <c r="E19" s="344">
        <f>+TOT!J22</f>
        <v>24406</v>
      </c>
      <c r="F19" s="344">
        <f>+TOT!L22</f>
        <v>16857</v>
      </c>
      <c r="G19" s="344">
        <f>+TOT!N22</f>
        <v>8520</v>
      </c>
      <c r="H19" s="344">
        <f>+TOT!P22</f>
        <v>15160</v>
      </c>
      <c r="I19" s="344">
        <f>+TOT!T22</f>
        <v>10510</v>
      </c>
      <c r="J19" s="344">
        <f>+TOT!R22</f>
        <v>7730</v>
      </c>
      <c r="K19" s="344">
        <f>+TOT!V22</f>
        <v>13360</v>
      </c>
    </row>
    <row r="20" spans="1:11" x14ac:dyDescent="0.3">
      <c r="A20" s="344" t="s">
        <v>15</v>
      </c>
      <c r="B20" s="344">
        <f>+TOT!D23</f>
        <v>7020</v>
      </c>
      <c r="C20" s="344">
        <f>+TOT!F23</f>
        <v>16380</v>
      </c>
      <c r="D20" s="344">
        <f>+TOT!H23</f>
        <v>13190</v>
      </c>
      <c r="E20" s="344">
        <f>+TOT!J23</f>
        <v>13022</v>
      </c>
      <c r="F20" s="344">
        <f>+TOT!L23</f>
        <v>8358</v>
      </c>
      <c r="G20" s="344">
        <f>+TOT!N23</f>
        <v>4510</v>
      </c>
      <c r="H20" s="344">
        <f>+TOT!P23</f>
        <v>8060</v>
      </c>
      <c r="I20" s="344">
        <f>+TOT!T23</f>
        <v>5350</v>
      </c>
      <c r="J20" s="344">
        <f>+TOT!R23</f>
        <v>5250</v>
      </c>
      <c r="K20" s="344">
        <f>+TOT!V23</f>
        <v>7720</v>
      </c>
    </row>
    <row r="21" spans="1:11" x14ac:dyDescent="0.3">
      <c r="A21" s="344" t="s">
        <v>16</v>
      </c>
      <c r="B21" s="344">
        <f>+TOT!D24</f>
        <v>18520</v>
      </c>
      <c r="C21" s="344">
        <f>+TOT!F24</f>
        <v>45360</v>
      </c>
      <c r="D21" s="344">
        <f>+TOT!H24</f>
        <v>34980</v>
      </c>
      <c r="E21" s="344">
        <f>+TOT!J24</f>
        <v>36746</v>
      </c>
      <c r="F21" s="344">
        <f>+TOT!L24</f>
        <v>21461</v>
      </c>
      <c r="G21" s="344">
        <f>+TOT!N24</f>
        <v>10820</v>
      </c>
      <c r="H21" s="344">
        <f>+TOT!P24</f>
        <v>20830</v>
      </c>
      <c r="I21" s="344">
        <f>+TOT!T24</f>
        <v>12960</v>
      </c>
      <c r="J21" s="344">
        <f>+TOT!R24</f>
        <v>11560</v>
      </c>
      <c r="K21" s="344">
        <f>+TOT!V24</f>
        <v>21910</v>
      </c>
    </row>
    <row r="22" spans="1:11" x14ac:dyDescent="0.3">
      <c r="A22" s="344" t="s">
        <v>17</v>
      </c>
      <c r="B22" s="344">
        <f>+TOT!D25</f>
        <v>23380</v>
      </c>
      <c r="C22" s="344">
        <f>+TOT!F25</f>
        <v>58240</v>
      </c>
      <c r="D22" s="344">
        <f>+TOT!H25</f>
        <v>48600</v>
      </c>
      <c r="E22" s="344">
        <f>+TOT!J25</f>
        <v>45206</v>
      </c>
      <c r="F22" s="344">
        <f>+TOT!L25</f>
        <v>29587</v>
      </c>
      <c r="G22" s="344">
        <f>+TOT!N25</f>
        <v>15750</v>
      </c>
      <c r="H22" s="344">
        <f>+TOT!P25</f>
        <v>26230</v>
      </c>
      <c r="I22" s="344">
        <f>+TOT!T25</f>
        <v>15720</v>
      </c>
      <c r="J22" s="344">
        <f>+TOT!R25</f>
        <v>17860</v>
      </c>
      <c r="K22" s="344">
        <f>+TOT!V25</f>
        <v>27760</v>
      </c>
    </row>
    <row r="23" spans="1:11" x14ac:dyDescent="0.3">
      <c r="A23" s="344" t="s">
        <v>18</v>
      </c>
      <c r="B23" s="344">
        <f>+TOT!D26</f>
        <v>5680</v>
      </c>
      <c r="C23" s="344">
        <f>+TOT!F26</f>
        <v>14480</v>
      </c>
      <c r="D23" s="344">
        <f>+TOT!H26</f>
        <v>9880</v>
      </c>
      <c r="E23" s="344">
        <f>+TOT!J26</f>
        <v>11148</v>
      </c>
      <c r="F23" s="344">
        <f>+TOT!L26</f>
        <v>7406</v>
      </c>
      <c r="G23" s="344">
        <f>+TOT!N26</f>
        <v>4130</v>
      </c>
      <c r="H23" s="344">
        <f>+TOT!P26</f>
        <v>6830</v>
      </c>
      <c r="I23" s="344">
        <f>+TOT!T26</f>
        <v>4350</v>
      </c>
      <c r="J23" s="344">
        <f>+TOT!R26</f>
        <v>4370</v>
      </c>
      <c r="K23" s="344">
        <f>+TOT!V26</f>
        <v>8100</v>
      </c>
    </row>
    <row r="24" spans="1:11" x14ac:dyDescent="0.3">
      <c r="A24" s="344" t="s">
        <v>19</v>
      </c>
      <c r="B24" s="344">
        <f>+TOT!D27</f>
        <v>14760</v>
      </c>
      <c r="C24" s="344">
        <f>+TOT!F27</f>
        <v>36840</v>
      </c>
      <c r="D24" s="344">
        <f>+TOT!H27</f>
        <v>27130</v>
      </c>
      <c r="E24" s="344">
        <f>+TOT!J27</f>
        <v>27716</v>
      </c>
      <c r="F24" s="344">
        <f>+TOT!L27</f>
        <v>18340</v>
      </c>
      <c r="G24" s="344">
        <f>+TOT!N27</f>
        <v>9795</v>
      </c>
      <c r="H24" s="344">
        <f>+TOT!P27</f>
        <v>18250</v>
      </c>
      <c r="I24" s="344">
        <f>+TOT!T27</f>
        <v>11170</v>
      </c>
      <c r="J24" s="344">
        <f>+TOT!R27</f>
        <v>10830</v>
      </c>
      <c r="K24" s="344">
        <f>+TOT!V27</f>
        <v>19760</v>
      </c>
    </row>
    <row r="25" spans="1:11" x14ac:dyDescent="0.3">
      <c r="A25" s="344" t="s">
        <v>20</v>
      </c>
      <c r="B25" s="344">
        <f>+TOT!D28</f>
        <v>9440</v>
      </c>
      <c r="C25" s="344">
        <f>+TOT!F28</f>
        <v>21040</v>
      </c>
      <c r="D25" s="344">
        <f>+TOT!H28</f>
        <v>17330</v>
      </c>
      <c r="E25" s="344">
        <f>+TOT!J28</f>
        <v>17746</v>
      </c>
      <c r="F25" s="344">
        <f>+TOT!L28</f>
        <v>11471</v>
      </c>
      <c r="G25" s="344">
        <f>+TOT!N28</f>
        <v>5540</v>
      </c>
      <c r="H25" s="344">
        <f>+TOT!P28</f>
        <v>9920</v>
      </c>
      <c r="I25" s="344">
        <f>+TOT!T28</f>
        <v>6680</v>
      </c>
      <c r="J25" s="344">
        <f>+TOT!R28</f>
        <v>6610</v>
      </c>
      <c r="K25" s="344">
        <f>+TOT!V28</f>
        <v>9950</v>
      </c>
    </row>
    <row r="26" spans="1:11" x14ac:dyDescent="0.3">
      <c r="A26" s="344" t="s">
        <v>79</v>
      </c>
      <c r="B26" s="344">
        <f>+TOT!D29</f>
        <v>14700</v>
      </c>
      <c r="C26" s="344">
        <f>+TOT!F29</f>
        <v>37180</v>
      </c>
      <c r="D26" s="344">
        <f>+TOT!H29</f>
        <v>29500</v>
      </c>
      <c r="E26" s="344">
        <f>+TOT!J29</f>
        <v>29212</v>
      </c>
      <c r="F26" s="344">
        <f>+TOT!L29</f>
        <v>19150</v>
      </c>
      <c r="G26" s="344">
        <f>+TOT!N29</f>
        <v>8895</v>
      </c>
      <c r="H26" s="344">
        <f>+TOT!P29</f>
        <v>17830</v>
      </c>
      <c r="I26" s="344">
        <f>+TOT!T29</f>
        <v>11000</v>
      </c>
      <c r="J26" s="344">
        <f>+TOT!R29</f>
        <v>10910</v>
      </c>
      <c r="K26" s="344">
        <f>+TOT!V29</f>
        <v>17880</v>
      </c>
    </row>
    <row r="27" spans="1:11" x14ac:dyDescent="0.3">
      <c r="A27" s="343" t="s">
        <v>84</v>
      </c>
      <c r="B27" s="343">
        <f>+TOT!D30</f>
        <v>323000</v>
      </c>
      <c r="C27" s="343">
        <f>+TOT!F30</f>
        <v>731500</v>
      </c>
      <c r="D27" s="343">
        <f>+TOT!H30</f>
        <v>668220</v>
      </c>
      <c r="E27" s="343">
        <f>+TOT!J30</f>
        <v>617000</v>
      </c>
      <c r="F27" s="343">
        <f>+TOT!L30</f>
        <v>405500</v>
      </c>
      <c r="G27" s="343">
        <f>+TOT!N30</f>
        <v>213600</v>
      </c>
      <c r="H27" s="343">
        <f>+TOT!P30</f>
        <v>416900</v>
      </c>
      <c r="I27" s="343">
        <f>+TOT!T30</f>
        <v>229220</v>
      </c>
      <c r="J27" s="343">
        <f>+TOT!R30</f>
        <v>259200</v>
      </c>
      <c r="K27" s="343">
        <f>+TOT!V30</f>
        <v>335800</v>
      </c>
    </row>
    <row r="28" spans="1:11" x14ac:dyDescent="0.3">
      <c r="A28" s="344" t="s">
        <v>35</v>
      </c>
      <c r="B28" s="344">
        <f>+TOT!D31</f>
        <v>20840</v>
      </c>
      <c r="C28" s="344">
        <f>+TOT!F31</f>
        <v>66080</v>
      </c>
      <c r="D28" s="344">
        <f>+TOT!H31</f>
        <v>47250</v>
      </c>
      <c r="E28" s="344">
        <f>+TOT!J31</f>
        <v>48648</v>
      </c>
      <c r="F28" s="344">
        <f>+TOT!L31</f>
        <v>25539</v>
      </c>
      <c r="G28" s="344">
        <f>+TOT!N31</f>
        <v>17650</v>
      </c>
      <c r="H28" s="344">
        <f>+TOT!P31</f>
        <v>39540</v>
      </c>
      <c r="I28" s="344">
        <f>+TOT!T31</f>
        <v>11660</v>
      </c>
      <c r="J28" s="344">
        <f>+TOT!R31</f>
        <v>18310</v>
      </c>
      <c r="K28" s="344">
        <f>+TOT!V31</f>
        <v>37062</v>
      </c>
    </row>
    <row r="29" spans="1:11" x14ac:dyDescent="0.3">
      <c r="A29" s="344" t="s">
        <v>36</v>
      </c>
      <c r="B29" s="344">
        <f>+TOT!D32</f>
        <v>11540</v>
      </c>
      <c r="C29" s="344">
        <f>+TOT!F32</f>
        <v>17340</v>
      </c>
      <c r="D29" s="344">
        <f>+TOT!H32</f>
        <v>15850</v>
      </c>
      <c r="E29" s="344">
        <f>+TOT!J32</f>
        <v>15464</v>
      </c>
      <c r="F29" s="344">
        <f>+TOT!L32</f>
        <v>9678</v>
      </c>
      <c r="G29" s="344">
        <f>+TOT!N32</f>
        <v>5720</v>
      </c>
      <c r="H29" s="344">
        <f>+TOT!P32</f>
        <v>13340</v>
      </c>
      <c r="I29" s="344">
        <f>+TOT!T32</f>
        <v>4990</v>
      </c>
      <c r="J29" s="344">
        <f>+TOT!R32</f>
        <v>5740</v>
      </c>
      <c r="K29" s="344">
        <f>+TOT!V32</f>
        <v>8626</v>
      </c>
    </row>
    <row r="30" spans="1:11" x14ac:dyDescent="0.3">
      <c r="A30" s="344" t="s">
        <v>37</v>
      </c>
      <c r="B30" s="344">
        <f>+TOT!D33</f>
        <v>64700</v>
      </c>
      <c r="C30" s="344">
        <f>+TOT!F33</f>
        <v>189300</v>
      </c>
      <c r="D30" s="344">
        <f>+TOT!H33</f>
        <v>141780</v>
      </c>
      <c r="E30" s="344">
        <f>+TOT!J33</f>
        <v>139340</v>
      </c>
      <c r="F30" s="344">
        <f>+TOT!L33</f>
        <v>94049</v>
      </c>
      <c r="G30" s="344">
        <f>+TOT!N33</f>
        <v>49480</v>
      </c>
      <c r="H30" s="344">
        <f>+TOT!P33</f>
        <v>121560</v>
      </c>
      <c r="I30" s="344">
        <f>+TOT!T33</f>
        <v>27790</v>
      </c>
      <c r="J30" s="344">
        <f>+TOT!R33</f>
        <v>55320</v>
      </c>
      <c r="K30" s="344">
        <f>+TOT!V33</f>
        <v>99640</v>
      </c>
    </row>
    <row r="31" spans="1:11" x14ac:dyDescent="0.3">
      <c r="A31" s="344" t="s">
        <v>38</v>
      </c>
      <c r="B31" s="344">
        <f>+TOT!D34</f>
        <v>15190</v>
      </c>
      <c r="C31" s="344">
        <f>+TOT!F34</f>
        <v>42840</v>
      </c>
      <c r="D31" s="344">
        <f>+TOT!H34</f>
        <v>31740</v>
      </c>
      <c r="E31" s="344">
        <f>+TOT!J34</f>
        <v>30948</v>
      </c>
      <c r="F31" s="344">
        <f>+TOT!L34</f>
        <v>22774</v>
      </c>
      <c r="G31" s="344">
        <f>+TOT!N34</f>
        <v>14160</v>
      </c>
      <c r="H31" s="344">
        <f>+TOT!P34</f>
        <v>20360</v>
      </c>
      <c r="I31" s="344">
        <f>+TOT!T34</f>
        <v>6520</v>
      </c>
      <c r="J31" s="344">
        <f>+TOT!R34</f>
        <v>9620</v>
      </c>
      <c r="K31" s="344">
        <f>+TOT!V34</f>
        <v>21690</v>
      </c>
    </row>
    <row r="32" spans="1:11" x14ac:dyDescent="0.3">
      <c r="A32" s="344" t="s">
        <v>39</v>
      </c>
      <c r="B32" s="344">
        <f>+TOT!D35</f>
        <v>60900</v>
      </c>
      <c r="C32" s="344">
        <f>+TOT!F35</f>
        <v>180940</v>
      </c>
      <c r="D32" s="344">
        <f>+TOT!H35</f>
        <v>127470</v>
      </c>
      <c r="E32" s="344">
        <f>+TOT!J35</f>
        <v>121660</v>
      </c>
      <c r="F32" s="344">
        <f>+TOT!L35</f>
        <v>90593</v>
      </c>
      <c r="G32" s="344">
        <f>+TOT!N35</f>
        <v>45265</v>
      </c>
      <c r="H32" s="344">
        <f>+TOT!P35</f>
        <v>102810</v>
      </c>
      <c r="I32" s="344">
        <f>+TOT!T35</f>
        <v>25790</v>
      </c>
      <c r="J32" s="344">
        <f>+TOT!R35</f>
        <v>48130</v>
      </c>
      <c r="K32" s="344">
        <f>+TOT!V35</f>
        <v>90840</v>
      </c>
    </row>
    <row r="33" spans="1:11" x14ac:dyDescent="0.3">
      <c r="A33" s="344" t="s">
        <v>40</v>
      </c>
      <c r="B33" s="344">
        <f>+TOT!D36</f>
        <v>49240</v>
      </c>
      <c r="C33" s="344">
        <f>+TOT!F36</f>
        <v>172100</v>
      </c>
      <c r="D33" s="344">
        <f>+TOT!H36</f>
        <v>120880</v>
      </c>
      <c r="E33" s="344">
        <f>+TOT!J36</f>
        <v>121268</v>
      </c>
      <c r="F33" s="344">
        <f>+TOT!L36</f>
        <v>83400</v>
      </c>
      <c r="G33" s="344">
        <f>+TOT!N36</f>
        <v>43660</v>
      </c>
      <c r="H33" s="344">
        <f>+TOT!P36</f>
        <v>101440</v>
      </c>
      <c r="I33" s="344">
        <f>+TOT!T36</f>
        <v>31140</v>
      </c>
      <c r="J33" s="344">
        <f>+TOT!R36</f>
        <v>46850</v>
      </c>
      <c r="K33" s="344">
        <f>+TOT!V36</f>
        <v>76750</v>
      </c>
    </row>
    <row r="34" spans="1:11" x14ac:dyDescent="0.3">
      <c r="A34" s="344" t="s">
        <v>41</v>
      </c>
      <c r="B34" s="344">
        <f>+TOT!D37</f>
        <v>36680</v>
      </c>
      <c r="C34" s="344">
        <f>+TOT!F37</f>
        <v>73280</v>
      </c>
      <c r="D34" s="344">
        <f>+TOT!H37</f>
        <v>58310</v>
      </c>
      <c r="E34" s="344">
        <f>+TOT!J37</f>
        <v>51964</v>
      </c>
      <c r="F34" s="344">
        <f>+TOT!L37</f>
        <v>36400</v>
      </c>
      <c r="G34" s="344">
        <f>+TOT!N37</f>
        <v>19990</v>
      </c>
      <c r="H34" s="344">
        <f>+TOT!P37</f>
        <v>43830</v>
      </c>
      <c r="I34" s="344">
        <f>+TOT!T37</f>
        <v>11620</v>
      </c>
      <c r="J34" s="344">
        <f>+TOT!R37</f>
        <v>22060</v>
      </c>
      <c r="K34" s="344">
        <f>+TOT!V37</f>
        <v>40000</v>
      </c>
    </row>
    <row r="35" spans="1:11" x14ac:dyDescent="0.3">
      <c r="A35" s="344" t="s">
        <v>42</v>
      </c>
      <c r="B35" s="344">
        <f>+TOT!D38</f>
        <v>61640</v>
      </c>
      <c r="C35" s="344">
        <f>+TOT!F38</f>
        <v>139060</v>
      </c>
      <c r="D35" s="344">
        <f>+TOT!H38</f>
        <v>114090</v>
      </c>
      <c r="E35" s="344">
        <f>+TOT!J38</f>
        <v>110068</v>
      </c>
      <c r="F35" s="344">
        <f>+TOT!L38</f>
        <v>67450</v>
      </c>
      <c r="G35" s="344">
        <f>+TOT!N38</f>
        <v>42480</v>
      </c>
      <c r="H35" s="344">
        <f>+TOT!P38</f>
        <v>86350</v>
      </c>
      <c r="I35" s="344">
        <f>+TOT!T38</f>
        <v>37410</v>
      </c>
      <c r="J35" s="344">
        <f>+TOT!R38</f>
        <v>55420</v>
      </c>
      <c r="K35" s="344">
        <f>+TOT!V38</f>
        <v>71290</v>
      </c>
    </row>
    <row r="36" spans="1:11" x14ac:dyDescent="0.3">
      <c r="A36" s="344" t="s">
        <v>43</v>
      </c>
      <c r="B36" s="344">
        <f>+TOT!D39</f>
        <v>40740</v>
      </c>
      <c r="C36" s="344">
        <f>+TOT!F39</f>
        <v>114000</v>
      </c>
      <c r="D36" s="344">
        <f>+TOT!H39</f>
        <v>78300</v>
      </c>
      <c r="E36" s="344">
        <f>+TOT!J39</f>
        <v>77812</v>
      </c>
      <c r="F36" s="344">
        <f>+TOT!L39</f>
        <v>49350</v>
      </c>
      <c r="G36" s="344">
        <f>+TOT!N39</f>
        <v>29960</v>
      </c>
      <c r="H36" s="344">
        <f>+TOT!P39</f>
        <v>65320</v>
      </c>
      <c r="I36" s="344">
        <f>+TOT!T39</f>
        <v>25900</v>
      </c>
      <c r="J36" s="344">
        <f>+TOT!R39</f>
        <v>36250</v>
      </c>
      <c r="K36" s="344">
        <f>+TOT!V39</f>
        <v>54330</v>
      </c>
    </row>
    <row r="37" spans="1:11" x14ac:dyDescent="0.3">
      <c r="A37" s="343" t="s">
        <v>88</v>
      </c>
      <c r="B37" s="343">
        <f>+TOT!D40</f>
        <v>203000</v>
      </c>
      <c r="C37" s="343">
        <f>+TOT!F40</f>
        <v>588000</v>
      </c>
      <c r="D37" s="343">
        <f>+TOT!H40</f>
        <v>511700</v>
      </c>
      <c r="E37" s="343">
        <f>+TOT!J40</f>
        <v>475200</v>
      </c>
      <c r="F37" s="343">
        <f>+TOT!L40</f>
        <v>296150</v>
      </c>
      <c r="G37" s="343">
        <f>+TOT!N40</f>
        <v>166000</v>
      </c>
      <c r="H37" s="343">
        <f>+TOT!P40</f>
        <v>298000</v>
      </c>
      <c r="I37" s="343">
        <f>+TOT!T40</f>
        <v>198000</v>
      </c>
      <c r="J37" s="343">
        <f>+TOT!R40</f>
        <v>213100</v>
      </c>
      <c r="K37" s="343">
        <f>+TOT!V40</f>
        <v>284100</v>
      </c>
    </row>
    <row r="38" spans="1:11" x14ac:dyDescent="0.3">
      <c r="A38" s="344" t="s">
        <v>44</v>
      </c>
      <c r="B38" s="344">
        <f>+TOT!D41</f>
        <v>10780</v>
      </c>
      <c r="C38" s="344">
        <f>+TOT!F41</f>
        <v>35260</v>
      </c>
      <c r="D38" s="344">
        <f>+TOT!H41</f>
        <v>29430</v>
      </c>
      <c r="E38" s="344">
        <f>+TOT!J41</f>
        <v>27512</v>
      </c>
      <c r="F38" s="344">
        <f>+TOT!L41</f>
        <v>17722</v>
      </c>
      <c r="G38" s="344">
        <f>+TOT!N41</f>
        <v>8920</v>
      </c>
      <c r="H38" s="344">
        <f>+TOT!P41</f>
        <v>18720</v>
      </c>
      <c r="I38" s="344">
        <f>+TOT!T41</f>
        <v>5680</v>
      </c>
      <c r="J38" s="344">
        <f>+TOT!R41</f>
        <v>8870</v>
      </c>
      <c r="K38" s="344">
        <f>+TOT!V41</f>
        <v>19980</v>
      </c>
    </row>
    <row r="39" spans="1:11" x14ac:dyDescent="0.3">
      <c r="A39" s="344" t="s">
        <v>45</v>
      </c>
      <c r="B39" s="344">
        <f>+TOT!D42</f>
        <v>3640</v>
      </c>
      <c r="C39" s="344">
        <f>+TOT!F42</f>
        <v>10330</v>
      </c>
      <c r="D39" s="344">
        <f>+TOT!H42</f>
        <v>7150</v>
      </c>
      <c r="E39" s="344">
        <f>+TOT!J42</f>
        <v>7934</v>
      </c>
      <c r="F39" s="344">
        <f>+TOT!L42</f>
        <v>5126</v>
      </c>
      <c r="G39" s="344">
        <f>+TOT!N42</f>
        <v>2680</v>
      </c>
      <c r="H39" s="344">
        <f>+TOT!P42</f>
        <v>4080</v>
      </c>
      <c r="I39" s="344">
        <f>+TOT!T42</f>
        <v>2460</v>
      </c>
      <c r="J39" s="344">
        <f>+TOT!R42</f>
        <v>2580</v>
      </c>
      <c r="K39" s="344">
        <f>+TOT!V42</f>
        <v>4870</v>
      </c>
    </row>
    <row r="40" spans="1:11" x14ac:dyDescent="0.3">
      <c r="A40" s="344" t="s">
        <v>46</v>
      </c>
      <c r="B40" s="344">
        <f>+TOT!D43</f>
        <v>21980</v>
      </c>
      <c r="C40" s="344">
        <f>+TOT!F43</f>
        <v>58980</v>
      </c>
      <c r="D40" s="344">
        <f>+TOT!H43</f>
        <v>43250</v>
      </c>
      <c r="E40" s="344">
        <f>+TOT!J43</f>
        <v>46788</v>
      </c>
      <c r="F40" s="344">
        <f>+TOT!L43</f>
        <v>30011</v>
      </c>
      <c r="G40" s="344">
        <f>+TOT!N43</f>
        <v>15350</v>
      </c>
      <c r="H40" s="344">
        <f>+TOT!P43</f>
        <v>30860</v>
      </c>
      <c r="I40" s="344">
        <f>+TOT!T43</f>
        <v>14710</v>
      </c>
      <c r="J40" s="344">
        <f>+TOT!R43</f>
        <v>14170</v>
      </c>
      <c r="K40" s="344">
        <f>+TOT!V43</f>
        <v>28830</v>
      </c>
    </row>
    <row r="41" spans="1:11" x14ac:dyDescent="0.3">
      <c r="A41" s="344" t="s">
        <v>47</v>
      </c>
      <c r="B41" s="344">
        <f>+TOT!D44</f>
        <v>17440</v>
      </c>
      <c r="C41" s="344">
        <f>+TOT!F44</f>
        <v>44680</v>
      </c>
      <c r="D41" s="344">
        <f>+TOT!H44</f>
        <v>37020</v>
      </c>
      <c r="E41" s="344">
        <f>+TOT!J44</f>
        <v>36604</v>
      </c>
      <c r="F41" s="344">
        <f>+TOT!L44</f>
        <v>24104</v>
      </c>
      <c r="G41" s="344">
        <f>+TOT!N44</f>
        <v>12430</v>
      </c>
      <c r="H41" s="344">
        <f>+TOT!P44</f>
        <v>22830</v>
      </c>
      <c r="I41" s="344">
        <f>+TOT!T44</f>
        <v>8310</v>
      </c>
      <c r="J41" s="344">
        <f>+TOT!R44</f>
        <v>10670</v>
      </c>
      <c r="K41" s="344">
        <f>+TOT!V44</f>
        <v>23650</v>
      </c>
    </row>
    <row r="42" spans="1:11" x14ac:dyDescent="0.3">
      <c r="A42" s="344" t="s">
        <v>48</v>
      </c>
      <c r="B42" s="344">
        <f>+TOT!D45</f>
        <v>16560</v>
      </c>
      <c r="C42" s="344">
        <f>+TOT!F45</f>
        <v>47480</v>
      </c>
      <c r="D42" s="344">
        <f>+TOT!H45</f>
        <v>36630</v>
      </c>
      <c r="E42" s="344">
        <f>+TOT!J45</f>
        <v>36280</v>
      </c>
      <c r="F42" s="344">
        <f>+TOT!L45</f>
        <v>23827</v>
      </c>
      <c r="G42" s="344">
        <f>+TOT!N45</f>
        <v>13170</v>
      </c>
      <c r="H42" s="344">
        <f>+TOT!P45</f>
        <v>23260</v>
      </c>
      <c r="I42" s="344">
        <f>+TOT!T45</f>
        <v>7950</v>
      </c>
      <c r="J42" s="344">
        <f>+TOT!R45</f>
        <v>10230</v>
      </c>
      <c r="K42" s="344">
        <f>+TOT!V45</f>
        <v>22670</v>
      </c>
    </row>
    <row r="43" spans="1:11" x14ac:dyDescent="0.3">
      <c r="A43" s="344" t="s">
        <v>49</v>
      </c>
      <c r="B43" s="344">
        <f>+TOT!D46</f>
        <v>15540</v>
      </c>
      <c r="C43" s="344">
        <f>+TOT!F46</f>
        <v>42880</v>
      </c>
      <c r="D43" s="344">
        <f>+TOT!H46</f>
        <v>30520</v>
      </c>
      <c r="E43" s="344">
        <f>+TOT!J46</f>
        <v>32488</v>
      </c>
      <c r="F43" s="344">
        <f>+TOT!L46</f>
        <v>21437</v>
      </c>
      <c r="G43" s="344">
        <f>+TOT!N46</f>
        <v>11190</v>
      </c>
      <c r="H43" s="344">
        <f>+TOT!P46</f>
        <v>17210</v>
      </c>
      <c r="I43" s="344">
        <f>+TOT!T46</f>
        <v>6940</v>
      </c>
      <c r="J43" s="344">
        <f>+TOT!R46</f>
        <v>10120</v>
      </c>
      <c r="K43" s="344">
        <f>+TOT!V46</f>
        <v>18480</v>
      </c>
    </row>
    <row r="44" spans="1:11" x14ac:dyDescent="0.3">
      <c r="A44" s="344" t="s">
        <v>50</v>
      </c>
      <c r="B44" s="344">
        <f>+TOT!D47</f>
        <v>23800</v>
      </c>
      <c r="C44" s="344">
        <f>+TOT!F47</f>
        <v>75360</v>
      </c>
      <c r="D44" s="344">
        <f>+TOT!H47</f>
        <v>57370</v>
      </c>
      <c r="E44" s="344">
        <f>+TOT!J47</f>
        <v>59880</v>
      </c>
      <c r="F44" s="344">
        <f>+TOT!L47</f>
        <v>40023</v>
      </c>
      <c r="G44" s="344">
        <f>+TOT!N47</f>
        <v>21470</v>
      </c>
      <c r="H44" s="344">
        <f>+TOT!P47</f>
        <v>41620</v>
      </c>
      <c r="I44" s="344">
        <f>+TOT!T47</f>
        <v>12670</v>
      </c>
      <c r="J44" s="344">
        <f>+TOT!R47</f>
        <v>18270</v>
      </c>
      <c r="K44" s="344">
        <f>+TOT!V47</f>
        <v>40280</v>
      </c>
    </row>
    <row r="45" spans="1:11" x14ac:dyDescent="0.3">
      <c r="A45" s="344" t="s">
        <v>56</v>
      </c>
      <c r="B45" s="344">
        <f>+TOT!D48</f>
        <v>10000</v>
      </c>
      <c r="C45" s="344">
        <f>+TOT!F48</f>
        <v>25840</v>
      </c>
      <c r="D45" s="344">
        <f>+TOT!H48</f>
        <v>20610</v>
      </c>
      <c r="E45" s="344">
        <f>+TOT!J48</f>
        <v>20376</v>
      </c>
      <c r="F45" s="344">
        <f>+TOT!L48</f>
        <v>12831</v>
      </c>
      <c r="G45" s="344">
        <f>+TOT!N48</f>
        <v>7010</v>
      </c>
      <c r="H45" s="344">
        <f>+TOT!P48</f>
        <v>9970</v>
      </c>
      <c r="I45" s="344">
        <f>+TOT!T48</f>
        <v>4780</v>
      </c>
      <c r="J45" s="344">
        <f>+TOT!R48</f>
        <v>6890</v>
      </c>
      <c r="K45" s="344">
        <f>+TOT!V48</f>
        <v>10120</v>
      </c>
    </row>
    <row r="46" spans="1:11" x14ac:dyDescent="0.3">
      <c r="A46" s="344" t="s">
        <v>51</v>
      </c>
      <c r="B46" s="344">
        <f>+TOT!D49</f>
        <v>7280</v>
      </c>
      <c r="C46" s="344">
        <f>+TOT!F49</f>
        <v>19240</v>
      </c>
      <c r="D46" s="344">
        <f>+TOT!H49</f>
        <v>15990</v>
      </c>
      <c r="E46" s="344">
        <f>+TOT!J49</f>
        <v>12524</v>
      </c>
      <c r="F46" s="344">
        <f>+TOT!L49</f>
        <v>9145</v>
      </c>
      <c r="G46" s="344">
        <f>+TOT!N49</f>
        <v>5360</v>
      </c>
      <c r="H46" s="344">
        <f>+TOT!P49</f>
        <v>8730</v>
      </c>
      <c r="I46" s="344">
        <f>+TOT!T49</f>
        <v>3340</v>
      </c>
      <c r="J46" s="344">
        <f>+TOT!R49</f>
        <v>4740</v>
      </c>
      <c r="K46" s="344">
        <f>+TOT!V49</f>
        <v>8800</v>
      </c>
    </row>
    <row r="47" spans="1:11" x14ac:dyDescent="0.3">
      <c r="A47" s="344" t="s">
        <v>52</v>
      </c>
      <c r="B47" s="344">
        <f>+TOT!D50</f>
        <v>15620</v>
      </c>
      <c r="C47" s="344">
        <f>+TOT!F50</f>
        <v>49200</v>
      </c>
      <c r="D47" s="344">
        <f>+TOT!H50</f>
        <v>34730</v>
      </c>
      <c r="E47" s="344">
        <f>+TOT!J50</f>
        <v>33304</v>
      </c>
      <c r="F47" s="344">
        <f>+TOT!L50</f>
        <v>19913</v>
      </c>
      <c r="G47" s="344">
        <f>+TOT!N50</f>
        <v>12210</v>
      </c>
      <c r="H47" s="344">
        <f>+TOT!P50</f>
        <v>20440</v>
      </c>
      <c r="I47" s="344">
        <f>+TOT!T50</f>
        <v>12400</v>
      </c>
      <c r="J47" s="344">
        <f>+TOT!R50</f>
        <v>12350</v>
      </c>
      <c r="K47" s="344">
        <f>+TOT!V50</f>
        <v>19380</v>
      </c>
    </row>
    <row r="48" spans="1:11" x14ac:dyDescent="0.3">
      <c r="A48" s="344" t="s">
        <v>53</v>
      </c>
      <c r="B48" s="344">
        <f>+TOT!D51</f>
        <v>1080</v>
      </c>
      <c r="C48" s="344">
        <f>+TOT!F51</f>
        <v>3150</v>
      </c>
      <c r="D48" s="344">
        <f>+TOT!H51</f>
        <v>1930</v>
      </c>
      <c r="E48" s="344">
        <f>+TOT!J51</f>
        <v>2020</v>
      </c>
      <c r="F48" s="344">
        <f>+TOT!L51</f>
        <v>1254</v>
      </c>
      <c r="G48" s="344">
        <f>+TOT!N51</f>
        <v>690</v>
      </c>
      <c r="H48" s="344">
        <f>+TOT!P51</f>
        <v>1590</v>
      </c>
      <c r="I48" s="344">
        <f>+TOT!T51</f>
        <v>540</v>
      </c>
      <c r="J48" s="344">
        <f>+TOT!R51</f>
        <v>630</v>
      </c>
      <c r="K48" s="344">
        <f>+TOT!V51</f>
        <v>1560</v>
      </c>
    </row>
    <row r="49" spans="1:11" x14ac:dyDescent="0.3">
      <c r="A49" s="344" t="s">
        <v>54</v>
      </c>
      <c r="B49" s="344">
        <f>+TOT!D52</f>
        <v>7400</v>
      </c>
      <c r="C49" s="344">
        <f>+TOT!F52</f>
        <v>18180</v>
      </c>
      <c r="D49" s="344">
        <f>+TOT!H52</f>
        <v>16500</v>
      </c>
      <c r="E49" s="344">
        <f>+TOT!J52</f>
        <v>14350</v>
      </c>
      <c r="F49" s="344">
        <f>+TOT!L52</f>
        <v>7978</v>
      </c>
      <c r="G49" s="344">
        <f>+TOT!N52</f>
        <v>4720</v>
      </c>
      <c r="H49" s="344">
        <f>+TOT!P52</f>
        <v>6420</v>
      </c>
      <c r="I49" s="344">
        <f>+TOT!T52</f>
        <v>2980</v>
      </c>
      <c r="J49" s="344">
        <f>+TOT!R52</f>
        <v>5450</v>
      </c>
      <c r="K49" s="344">
        <f>+TOT!V52</f>
        <v>10210</v>
      </c>
    </row>
    <row r="50" spans="1:11" x14ac:dyDescent="0.3">
      <c r="A50" s="344" t="s">
        <v>55</v>
      </c>
      <c r="B50" s="344">
        <f>+TOT!D53</f>
        <v>1460</v>
      </c>
      <c r="C50" s="344">
        <f>+TOT!F53</f>
        <v>4060</v>
      </c>
      <c r="D50" s="344">
        <f>+TOT!H53</f>
        <v>2770</v>
      </c>
      <c r="E50" s="344">
        <f>+TOT!J53</f>
        <v>3044</v>
      </c>
      <c r="F50" s="344">
        <f>+TOT!L53</f>
        <v>1598</v>
      </c>
      <c r="G50" s="344">
        <f>+TOT!N53</f>
        <v>1080</v>
      </c>
      <c r="H50" s="344">
        <f>+TOT!P53</f>
        <v>1730</v>
      </c>
      <c r="I50" s="344">
        <f>+TOT!T53</f>
        <v>1120</v>
      </c>
      <c r="J50" s="344">
        <f>+TOT!R53</f>
        <v>1100</v>
      </c>
      <c r="K50" s="344">
        <f>+TOT!V53</f>
        <v>2100</v>
      </c>
    </row>
    <row r="51" spans="1:11" x14ac:dyDescent="0.3">
      <c r="A51" s="343" t="s">
        <v>89</v>
      </c>
      <c r="B51" s="343">
        <f>+TOT!D54</f>
        <v>172000</v>
      </c>
      <c r="C51" s="343">
        <f>+TOT!F54</f>
        <v>352500</v>
      </c>
      <c r="D51" s="343">
        <f>+TOT!H54</f>
        <v>299700</v>
      </c>
      <c r="E51" s="343">
        <f>+TOT!J54</f>
        <v>291200</v>
      </c>
      <c r="F51" s="343">
        <f>+TOT!L54</f>
        <v>193900</v>
      </c>
      <c r="G51" s="343">
        <f>+TOT!N54</f>
        <v>101550</v>
      </c>
      <c r="H51" s="343">
        <f>+TOT!P54</f>
        <v>162750</v>
      </c>
      <c r="I51" s="343">
        <f>+TOT!T54</f>
        <v>131700</v>
      </c>
      <c r="J51" s="343">
        <f>+TOT!R54</f>
        <v>118000</v>
      </c>
      <c r="K51" s="343">
        <f>+TOT!V54</f>
        <v>186100</v>
      </c>
    </row>
    <row r="52" spans="1:11" x14ac:dyDescent="0.3">
      <c r="A52" s="344" t="s">
        <v>21</v>
      </c>
      <c r="B52" s="344">
        <f>+TOT!D55</f>
        <v>8800</v>
      </c>
      <c r="C52" s="344">
        <f>+TOT!F55</f>
        <v>22800</v>
      </c>
      <c r="D52" s="344">
        <f>+TOT!H55</f>
        <v>18820</v>
      </c>
      <c r="E52" s="344">
        <f>+TOT!J55</f>
        <v>18076</v>
      </c>
      <c r="F52" s="344">
        <f>+TOT!L55</f>
        <v>11500</v>
      </c>
      <c r="G52" s="344">
        <f>+TOT!N55</f>
        <v>6770</v>
      </c>
      <c r="H52" s="344">
        <f>+TOT!P55</f>
        <v>10420</v>
      </c>
      <c r="I52" s="344">
        <f>+TOT!T55</f>
        <v>5700</v>
      </c>
      <c r="J52" s="344">
        <f>+TOT!R55</f>
        <v>6700</v>
      </c>
      <c r="K52" s="344">
        <f>+TOT!V55</f>
        <v>10510</v>
      </c>
    </row>
    <row r="53" spans="1:11" x14ac:dyDescent="0.3">
      <c r="A53" s="344" t="s">
        <v>22</v>
      </c>
      <c r="B53" s="344">
        <f>+TOT!D56</f>
        <v>2160</v>
      </c>
      <c r="C53" s="344">
        <f>+TOT!F56</f>
        <v>7300</v>
      </c>
      <c r="D53" s="344">
        <f>+TOT!H56</f>
        <v>6240</v>
      </c>
      <c r="E53" s="344">
        <f>+TOT!J56</f>
        <v>6220</v>
      </c>
      <c r="F53" s="344">
        <f>+TOT!L56</f>
        <v>3000</v>
      </c>
      <c r="G53" s="344">
        <f>+TOT!N56</f>
        <v>2905</v>
      </c>
      <c r="H53" s="344">
        <f>+TOT!P56</f>
        <v>3400</v>
      </c>
      <c r="I53" s="344">
        <f>+TOT!T56</f>
        <v>1800</v>
      </c>
      <c r="J53" s="344">
        <f>+TOT!R56</f>
        <v>2420</v>
      </c>
      <c r="K53" s="344">
        <f>+TOT!V56</f>
        <v>3720</v>
      </c>
    </row>
    <row r="54" spans="1:11" x14ac:dyDescent="0.3">
      <c r="A54" s="344" t="s">
        <v>25</v>
      </c>
      <c r="B54" s="344">
        <f>+TOT!D57</f>
        <v>7480</v>
      </c>
      <c r="C54" s="344">
        <f>+TOT!F57</f>
        <v>17240</v>
      </c>
      <c r="D54" s="344">
        <f>+TOT!H57</f>
        <v>13860</v>
      </c>
      <c r="E54" s="344">
        <f>+TOT!J57</f>
        <v>12676</v>
      </c>
      <c r="F54" s="344">
        <f>+TOT!L57</f>
        <v>8522</v>
      </c>
      <c r="G54" s="344">
        <f>+TOT!N57</f>
        <v>4470</v>
      </c>
      <c r="H54" s="344">
        <f>+TOT!P57</f>
        <v>8250</v>
      </c>
      <c r="I54" s="344">
        <f>+TOT!T57</f>
        <v>4540</v>
      </c>
      <c r="J54" s="344">
        <f>+TOT!R57</f>
        <v>4740</v>
      </c>
      <c r="K54" s="344">
        <f>+TOT!V57</f>
        <v>7450</v>
      </c>
    </row>
    <row r="55" spans="1:11" x14ac:dyDescent="0.3">
      <c r="A55" s="344" t="s">
        <v>23</v>
      </c>
      <c r="B55" s="344">
        <f>+TOT!D58</f>
        <v>4100</v>
      </c>
      <c r="C55" s="344">
        <f>+TOT!F58</f>
        <v>12340</v>
      </c>
      <c r="D55" s="344">
        <f>+TOT!H58</f>
        <v>9960</v>
      </c>
      <c r="E55" s="344">
        <f>+TOT!J58</f>
        <v>8352</v>
      </c>
      <c r="F55" s="344">
        <f>+TOT!L58</f>
        <v>5250</v>
      </c>
      <c r="G55" s="344">
        <f>+TOT!N58</f>
        <v>3330</v>
      </c>
      <c r="H55" s="344">
        <f>+TOT!P58</f>
        <v>4080</v>
      </c>
      <c r="I55" s="344">
        <f>+TOT!T58</f>
        <v>2750</v>
      </c>
      <c r="J55" s="344">
        <f>+TOT!R58</f>
        <v>3140</v>
      </c>
      <c r="K55" s="344">
        <f>+TOT!V58</f>
        <v>4700</v>
      </c>
    </row>
    <row r="56" spans="1:11" x14ac:dyDescent="0.3">
      <c r="A56" s="344" t="s">
        <v>24</v>
      </c>
      <c r="B56" s="344">
        <f>+TOT!D59</f>
        <v>6000</v>
      </c>
      <c r="C56" s="344">
        <f>+TOT!F59</f>
        <v>16740</v>
      </c>
      <c r="D56" s="344">
        <f>+TOT!H59</f>
        <v>11420</v>
      </c>
      <c r="E56" s="344">
        <f>+TOT!J59</f>
        <v>10748</v>
      </c>
      <c r="F56" s="344">
        <f>+TOT!L59</f>
        <v>6424</v>
      </c>
      <c r="G56" s="344">
        <f>+TOT!N59</f>
        <v>4060</v>
      </c>
      <c r="H56" s="344">
        <f>+TOT!P59</f>
        <v>7720</v>
      </c>
      <c r="I56" s="344">
        <f>+TOT!T59</f>
        <v>3420</v>
      </c>
      <c r="J56" s="344">
        <f>+TOT!R59</f>
        <v>4260</v>
      </c>
      <c r="K56" s="344">
        <f>+TOT!V59</f>
        <v>7930</v>
      </c>
    </row>
    <row r="57" spans="1:11" x14ac:dyDescent="0.3">
      <c r="A57" s="344" t="s">
        <v>26</v>
      </c>
      <c r="B57" s="344">
        <f>+TOT!D60</f>
        <v>17560</v>
      </c>
      <c r="C57" s="344">
        <f>+TOT!F60</f>
        <v>46100</v>
      </c>
      <c r="D57" s="344">
        <f>+TOT!H60</f>
        <v>34400</v>
      </c>
      <c r="E57" s="344">
        <f>+TOT!J60</f>
        <v>33600</v>
      </c>
      <c r="F57" s="344">
        <f>+TOT!L60</f>
        <v>22350</v>
      </c>
      <c r="G57" s="344">
        <f>+TOT!N60</f>
        <v>12100</v>
      </c>
      <c r="H57" s="344">
        <f>+TOT!P60</f>
        <v>20500</v>
      </c>
      <c r="I57" s="344">
        <f>+TOT!T60</f>
        <v>10540</v>
      </c>
      <c r="J57" s="344">
        <f>+TOT!R60</f>
        <v>12890</v>
      </c>
      <c r="K57" s="344">
        <f>+TOT!V60</f>
        <v>18500</v>
      </c>
    </row>
    <row r="58" spans="1:11" x14ac:dyDescent="0.3">
      <c r="A58" s="344" t="s">
        <v>27</v>
      </c>
      <c r="B58" s="344">
        <f>+TOT!D61</f>
        <v>14120</v>
      </c>
      <c r="C58" s="344">
        <f>+TOT!F61</f>
        <v>33200</v>
      </c>
      <c r="D58" s="344">
        <f>+TOT!H61</f>
        <v>25090</v>
      </c>
      <c r="E58" s="344">
        <f>+TOT!J61</f>
        <v>24328</v>
      </c>
      <c r="F58" s="344">
        <f>+TOT!L61</f>
        <v>15500</v>
      </c>
      <c r="G58" s="344">
        <f>+TOT!N61</f>
        <v>8340</v>
      </c>
      <c r="H58" s="344">
        <f>+TOT!P61</f>
        <v>16020</v>
      </c>
      <c r="I58" s="344">
        <f>+TOT!T61</f>
        <v>5960</v>
      </c>
      <c r="J58" s="344">
        <f>+TOT!R61</f>
        <v>9510</v>
      </c>
      <c r="K58" s="344">
        <f>+TOT!V61</f>
        <v>14990</v>
      </c>
    </row>
    <row r="59" spans="1:11" x14ac:dyDescent="0.3">
      <c r="A59" s="344" t="s">
        <v>28</v>
      </c>
      <c r="B59" s="344">
        <f>+TOT!D62</f>
        <v>26860</v>
      </c>
      <c r="C59" s="344">
        <f>+TOT!F62</f>
        <v>72200</v>
      </c>
      <c r="D59" s="344">
        <f>+TOT!H62</f>
        <v>55810</v>
      </c>
      <c r="E59" s="344">
        <f>+TOT!J62</f>
        <v>51376</v>
      </c>
      <c r="F59" s="344">
        <f>+TOT!L62</f>
        <v>35300</v>
      </c>
      <c r="G59" s="344">
        <f>+TOT!N62</f>
        <v>18175</v>
      </c>
      <c r="H59" s="344">
        <f>+TOT!P62</f>
        <v>31470</v>
      </c>
      <c r="I59" s="344">
        <f>+TOT!T62</f>
        <v>14550</v>
      </c>
      <c r="J59" s="344">
        <f>+TOT!R62</f>
        <v>22130</v>
      </c>
      <c r="K59" s="344">
        <f>+TOT!V62</f>
        <v>25100</v>
      </c>
    </row>
    <row r="60" spans="1:11" x14ac:dyDescent="0.3">
      <c r="A60" s="344" t="s">
        <v>29</v>
      </c>
      <c r="B60" s="344">
        <f>+TOT!D63</f>
        <v>16740</v>
      </c>
      <c r="C60" s="344">
        <f>+TOT!F63</f>
        <v>39820</v>
      </c>
      <c r="D60" s="344">
        <f>+TOT!H63</f>
        <v>32430</v>
      </c>
      <c r="E60" s="344">
        <f>+TOT!J63</f>
        <v>31480</v>
      </c>
      <c r="F60" s="344">
        <f>+TOT!L63</f>
        <v>20350</v>
      </c>
      <c r="G60" s="344">
        <f>+TOT!N63</f>
        <v>11510</v>
      </c>
      <c r="H60" s="344">
        <f>+TOT!P63</f>
        <v>19870</v>
      </c>
      <c r="I60" s="344">
        <f>+TOT!T63</f>
        <v>10680</v>
      </c>
      <c r="J60" s="344">
        <f>+TOT!R63</f>
        <v>13090</v>
      </c>
      <c r="K60" s="344">
        <f>+TOT!V63</f>
        <v>18830</v>
      </c>
    </row>
    <row r="61" spans="1:11" x14ac:dyDescent="0.3">
      <c r="A61" s="344" t="s">
        <v>30</v>
      </c>
      <c r="B61" s="344">
        <f>+TOT!D64</f>
        <v>8740</v>
      </c>
      <c r="C61" s="344">
        <f>+TOT!F64</f>
        <v>22360</v>
      </c>
      <c r="D61" s="344">
        <f>+TOT!H64</f>
        <v>17700</v>
      </c>
      <c r="E61" s="344">
        <f>+TOT!J64</f>
        <v>17256</v>
      </c>
      <c r="F61" s="344">
        <f>+TOT!L64</f>
        <v>12000</v>
      </c>
      <c r="G61" s="344">
        <f>+TOT!N64</f>
        <v>5720</v>
      </c>
      <c r="H61" s="344">
        <f>+TOT!P64</f>
        <v>8600</v>
      </c>
      <c r="I61" s="344">
        <f>+TOT!T64</f>
        <v>6140</v>
      </c>
      <c r="J61" s="344">
        <f>+TOT!R64</f>
        <v>6600</v>
      </c>
      <c r="K61" s="344">
        <f>+TOT!V64</f>
        <v>8670</v>
      </c>
    </row>
    <row r="62" spans="1:11" x14ac:dyDescent="0.3">
      <c r="A62" s="344" t="s">
        <v>31</v>
      </c>
      <c r="B62" s="344">
        <f>+TOT!D65</f>
        <v>15680</v>
      </c>
      <c r="C62" s="344">
        <f>+TOT!F65</f>
        <v>44040</v>
      </c>
      <c r="D62" s="344">
        <f>+TOT!H65</f>
        <v>38080</v>
      </c>
      <c r="E62" s="344">
        <f>+TOT!J65</f>
        <v>38300</v>
      </c>
      <c r="F62" s="344">
        <f>+TOT!L65</f>
        <v>22150</v>
      </c>
      <c r="G62" s="344">
        <f>+TOT!N65</f>
        <v>12500</v>
      </c>
      <c r="H62" s="344">
        <f>+TOT!P65</f>
        <v>23730</v>
      </c>
      <c r="I62" s="344">
        <f>+TOT!T65</f>
        <v>12160</v>
      </c>
      <c r="J62" s="344">
        <f>+TOT!R65</f>
        <v>16180</v>
      </c>
      <c r="K62" s="344">
        <f>+TOT!V65</f>
        <v>24400</v>
      </c>
    </row>
    <row r="63" spans="1:11" x14ac:dyDescent="0.3">
      <c r="A63" s="344" t="s">
        <v>32</v>
      </c>
      <c r="B63" s="344">
        <f>+TOT!D66</f>
        <v>12780</v>
      </c>
      <c r="C63" s="344">
        <f>+TOT!F66</f>
        <v>37560</v>
      </c>
      <c r="D63" s="344">
        <f>+TOT!H66</f>
        <v>27940</v>
      </c>
      <c r="E63" s="344">
        <f>+TOT!J66</f>
        <v>26760</v>
      </c>
      <c r="F63" s="344">
        <f>+TOT!L66</f>
        <v>17700</v>
      </c>
      <c r="G63" s="344">
        <f>+TOT!N66</f>
        <v>8525</v>
      </c>
      <c r="H63" s="344">
        <f>+TOT!P66</f>
        <v>15860</v>
      </c>
      <c r="I63" s="344">
        <f>+TOT!T66</f>
        <v>8950</v>
      </c>
      <c r="J63" s="344">
        <f>+TOT!R66</f>
        <v>9310</v>
      </c>
      <c r="K63" s="344">
        <f>+TOT!V66</f>
        <v>16370</v>
      </c>
    </row>
    <row r="64" spans="1:11" x14ac:dyDescent="0.3">
      <c r="A64" s="344" t="s">
        <v>33</v>
      </c>
      <c r="B64" s="344">
        <f>+TOT!D67</f>
        <v>11600</v>
      </c>
      <c r="C64" s="344">
        <f>+TOT!F67</f>
        <v>26180</v>
      </c>
      <c r="D64" s="344">
        <f>+TOT!H67</f>
        <v>19180</v>
      </c>
      <c r="E64" s="344">
        <f>+TOT!J67</f>
        <v>16632</v>
      </c>
      <c r="F64" s="344">
        <f>+TOT!L67</f>
        <v>11715</v>
      </c>
      <c r="G64" s="344">
        <f>+TOT!N67</f>
        <v>6260</v>
      </c>
      <c r="H64" s="344">
        <f>+TOT!P67</f>
        <v>11310</v>
      </c>
      <c r="I64" s="344">
        <f>+TOT!T67</f>
        <v>6930</v>
      </c>
      <c r="J64" s="344">
        <f>+TOT!R67</f>
        <v>6610</v>
      </c>
      <c r="K64" s="344">
        <f>+TOT!V67</f>
        <v>11050</v>
      </c>
    </row>
    <row r="65" spans="1:11" x14ac:dyDescent="0.3">
      <c r="A65" s="343" t="s">
        <v>86</v>
      </c>
      <c r="B65" s="343">
        <f>+TOT!D68</f>
        <v>289000</v>
      </c>
      <c r="C65" s="343">
        <f>+TOT!F68</f>
        <v>642000</v>
      </c>
      <c r="D65" s="343">
        <f>+TOT!H68</f>
        <v>527100</v>
      </c>
      <c r="E65" s="343">
        <f>+TOT!J68</f>
        <v>520150</v>
      </c>
      <c r="F65" s="343">
        <f>+TOT!L68</f>
        <v>340400</v>
      </c>
      <c r="G65" s="343">
        <f>+TOT!N68</f>
        <v>167000</v>
      </c>
      <c r="H65" s="343">
        <f>+TOT!P68</f>
        <v>291500</v>
      </c>
      <c r="I65" s="343">
        <f>+TOT!T68</f>
        <v>138200</v>
      </c>
      <c r="J65" s="343">
        <f>+TOT!R68</f>
        <v>175000</v>
      </c>
      <c r="K65" s="343">
        <f>+TOT!V68</f>
        <v>346200</v>
      </c>
    </row>
    <row r="66" spans="1:11" x14ac:dyDescent="0.3">
      <c r="A66" s="344" t="s">
        <v>63</v>
      </c>
      <c r="B66" s="344">
        <f>+TOT!D69</f>
        <v>9400</v>
      </c>
      <c r="C66" s="344">
        <f>+TOT!F69</f>
        <v>19620</v>
      </c>
      <c r="D66" s="344">
        <f>+TOT!H69</f>
        <v>16210</v>
      </c>
      <c r="E66" s="344">
        <f>+TOT!J69</f>
        <v>13908</v>
      </c>
      <c r="F66" s="344">
        <f>+TOT!L69</f>
        <v>6150</v>
      </c>
      <c r="G66" s="344">
        <f>+TOT!N69</f>
        <v>8440</v>
      </c>
      <c r="H66" s="344">
        <f>+TOT!P69</f>
        <v>7490</v>
      </c>
      <c r="I66" s="344">
        <f>+TOT!T69</f>
        <v>4941</v>
      </c>
      <c r="J66" s="344">
        <f>+TOT!R69</f>
        <v>4570</v>
      </c>
      <c r="K66" s="344">
        <f>+TOT!V69</f>
        <v>8760</v>
      </c>
    </row>
    <row r="67" spans="1:11" x14ac:dyDescent="0.3">
      <c r="A67" s="344" t="s">
        <v>64</v>
      </c>
      <c r="B67" s="344">
        <f>+TOT!D70</f>
        <v>21100</v>
      </c>
      <c r="C67" s="344">
        <f>+TOT!F70</f>
        <v>45440</v>
      </c>
      <c r="D67" s="344">
        <f>+TOT!H70</f>
        <v>35890</v>
      </c>
      <c r="E67" s="344">
        <f>+TOT!J70</f>
        <v>37144</v>
      </c>
      <c r="F67" s="344">
        <f>+TOT!L70</f>
        <v>22771</v>
      </c>
      <c r="G67" s="344">
        <f>+TOT!N70</f>
        <v>12890</v>
      </c>
      <c r="H67" s="344">
        <f>+TOT!P70</f>
        <v>24860</v>
      </c>
      <c r="I67" s="344">
        <f>+TOT!T70</f>
        <v>13260</v>
      </c>
      <c r="J67" s="344">
        <f>+TOT!R70</f>
        <v>13090</v>
      </c>
      <c r="K67" s="344">
        <f>+TOT!V70</f>
        <v>26240</v>
      </c>
    </row>
    <row r="68" spans="1:11" x14ac:dyDescent="0.3">
      <c r="A68" s="344" t="s">
        <v>65</v>
      </c>
      <c r="B68" s="344">
        <f>+TOT!D71</f>
        <v>25350</v>
      </c>
      <c r="C68" s="344">
        <f>+TOT!F71</f>
        <v>65380</v>
      </c>
      <c r="D68" s="344">
        <f>+TOT!H71</f>
        <v>54590</v>
      </c>
      <c r="E68" s="344">
        <f>+TOT!J71</f>
        <v>57120</v>
      </c>
      <c r="F68" s="344">
        <f>+TOT!L71</f>
        <v>33289</v>
      </c>
      <c r="G68" s="344">
        <f>+TOT!N71</f>
        <v>17520</v>
      </c>
      <c r="H68" s="344">
        <f>+TOT!P71</f>
        <v>37320</v>
      </c>
      <c r="I68" s="344">
        <f>+TOT!T71</f>
        <v>15860</v>
      </c>
      <c r="J68" s="344">
        <f>+TOT!R71</f>
        <v>18800</v>
      </c>
      <c r="K68" s="344">
        <f>+TOT!V71</f>
        <v>32470</v>
      </c>
    </row>
    <row r="69" spans="1:11" x14ac:dyDescent="0.3">
      <c r="A69" s="345" t="s">
        <v>66</v>
      </c>
      <c r="B69" s="345">
        <f>+TOT!D72</f>
        <v>19200</v>
      </c>
      <c r="C69" s="345">
        <f>+TOT!F72</f>
        <v>50280</v>
      </c>
      <c r="D69" s="345">
        <f>+TOT!H72</f>
        <v>45880</v>
      </c>
      <c r="E69" s="345">
        <f>+TOT!J72</f>
        <v>48054</v>
      </c>
      <c r="F69" s="345">
        <f>+TOT!L72</f>
        <v>25883</v>
      </c>
      <c r="G69" s="345">
        <f>+TOT!N72</f>
        <v>13310</v>
      </c>
      <c r="H69" s="345">
        <f>+TOT!P72</f>
        <v>26130</v>
      </c>
      <c r="I69" s="345">
        <f>+TOT!T72</f>
        <v>14010</v>
      </c>
      <c r="J69" s="345">
        <f>+TOT!R72</f>
        <v>15040</v>
      </c>
      <c r="K69" s="345">
        <f>+TOT!V72</f>
        <v>30030</v>
      </c>
    </row>
    <row r="70" spans="1:11" x14ac:dyDescent="0.3">
      <c r="A70" s="345" t="s">
        <v>67</v>
      </c>
      <c r="B70" s="345">
        <f>+TOT!D73</f>
        <v>46720</v>
      </c>
      <c r="C70" s="345">
        <f>+TOT!F73</f>
        <v>100120</v>
      </c>
      <c r="D70" s="345">
        <f>+TOT!H73</f>
        <v>83970</v>
      </c>
      <c r="E70" s="345">
        <f>+TOT!J73</f>
        <v>75510</v>
      </c>
      <c r="F70" s="345">
        <f>+TOT!L73</f>
        <v>43438</v>
      </c>
      <c r="G70" s="345">
        <f>+TOT!N73</f>
        <v>25135</v>
      </c>
      <c r="H70" s="345">
        <f>+TOT!P73</f>
        <v>54730</v>
      </c>
      <c r="I70" s="345">
        <f>+TOT!T73</f>
        <v>22930</v>
      </c>
      <c r="J70" s="345">
        <f>+TOT!R73</f>
        <v>29850</v>
      </c>
      <c r="K70" s="345">
        <f>+TOT!V73</f>
        <v>57500</v>
      </c>
    </row>
    <row r="71" spans="1:11" x14ac:dyDescent="0.3">
      <c r="A71" s="345" t="s">
        <v>68</v>
      </c>
      <c r="B71" s="345">
        <f>+TOT!D74</f>
        <v>31320</v>
      </c>
      <c r="C71" s="345">
        <f>+TOT!F74</f>
        <v>81340</v>
      </c>
      <c r="D71" s="345">
        <f>+TOT!H74</f>
        <v>63220</v>
      </c>
      <c r="E71" s="345">
        <f>+TOT!J74</f>
        <v>63760</v>
      </c>
      <c r="F71" s="345">
        <f>+TOT!L74</f>
        <v>39054</v>
      </c>
      <c r="G71" s="345">
        <f>+TOT!N74</f>
        <v>17980</v>
      </c>
      <c r="H71" s="345">
        <f>+TOT!P74</f>
        <v>43550</v>
      </c>
      <c r="I71" s="345">
        <f>+TOT!T74</f>
        <v>20700</v>
      </c>
      <c r="J71" s="345">
        <f>+TOT!R74</f>
        <v>23480</v>
      </c>
      <c r="K71" s="345">
        <f>+TOT!V74</f>
        <v>32910</v>
      </c>
    </row>
    <row r="72" spans="1:11" x14ac:dyDescent="0.3">
      <c r="A72" s="345" t="s">
        <v>69</v>
      </c>
      <c r="B72" s="345">
        <f>+TOT!D75</f>
        <v>38260</v>
      </c>
      <c r="C72" s="345">
        <f>+TOT!F75</f>
        <v>87260</v>
      </c>
      <c r="D72" s="345">
        <f>+TOT!H75</f>
        <v>71430</v>
      </c>
      <c r="E72" s="345">
        <f>+TOT!J75</f>
        <v>71464</v>
      </c>
      <c r="F72" s="345">
        <f>+TOT!L75</f>
        <v>124558</v>
      </c>
      <c r="G72" s="345">
        <f>+TOT!N75</f>
        <v>24065</v>
      </c>
      <c r="H72" s="345">
        <f>+TOT!P75</f>
        <v>44820</v>
      </c>
      <c r="I72" s="345">
        <f>+TOT!T75</f>
        <v>21890</v>
      </c>
      <c r="J72" s="345">
        <f>+TOT!R75</f>
        <v>25890</v>
      </c>
      <c r="K72" s="345">
        <f>+TOT!V75</f>
        <v>40620</v>
      </c>
    </row>
    <row r="73" spans="1:11" x14ac:dyDescent="0.3">
      <c r="A73" s="345" t="s">
        <v>70</v>
      </c>
      <c r="B73" s="345">
        <f>+TOT!D76</f>
        <v>23720</v>
      </c>
      <c r="C73" s="345">
        <f>+TOT!F76</f>
        <v>54620</v>
      </c>
      <c r="D73" s="345">
        <f>+TOT!H76</f>
        <v>44190</v>
      </c>
      <c r="E73" s="345">
        <f>+TOT!J76</f>
        <v>43400</v>
      </c>
      <c r="F73" s="345">
        <f>+TOT!L76</f>
        <v>28370</v>
      </c>
      <c r="G73" s="345">
        <f>+TOT!N76</f>
        <v>14410</v>
      </c>
      <c r="H73" s="345">
        <f>+TOT!P76</f>
        <v>28070</v>
      </c>
      <c r="I73" s="345">
        <f>+TOT!T76</f>
        <v>15570</v>
      </c>
      <c r="J73" s="345">
        <f>+TOT!R76</f>
        <v>16650</v>
      </c>
      <c r="K73" s="345">
        <f>+TOT!V76</f>
        <v>27750</v>
      </c>
    </row>
    <row r="74" spans="1:11" x14ac:dyDescent="0.3">
      <c r="A74" s="345" t="s">
        <v>71</v>
      </c>
      <c r="B74" s="345">
        <f>+TOT!D77</f>
        <v>33650</v>
      </c>
      <c r="C74" s="345">
        <f>+TOT!F77</f>
        <v>74720</v>
      </c>
      <c r="D74" s="345">
        <f>+TOT!H77</f>
        <v>54730</v>
      </c>
      <c r="E74" s="345">
        <f>+TOT!J77</f>
        <v>55702</v>
      </c>
      <c r="F74" s="345">
        <f>+TOT!L77</f>
        <v>38490</v>
      </c>
      <c r="G74" s="345">
        <f>+TOT!N77</f>
        <v>18950</v>
      </c>
      <c r="H74" s="345">
        <f>+TOT!P77</f>
        <v>29270</v>
      </c>
      <c r="I74" s="345">
        <f>+TOT!T77</f>
        <v>17340</v>
      </c>
      <c r="J74" s="345">
        <f>+TOT!R77</f>
        <v>22010</v>
      </c>
      <c r="K74" s="345">
        <f>+TOT!V77</f>
        <v>36510</v>
      </c>
    </row>
    <row r="75" spans="1:11" x14ac:dyDescent="0.3">
      <c r="A75" s="345" t="s">
        <v>72</v>
      </c>
      <c r="B75" s="345">
        <f>+TOT!D78</f>
        <v>3960</v>
      </c>
      <c r="C75" s="345">
        <f>+TOT!F78</f>
        <v>9600</v>
      </c>
      <c r="D75" s="345">
        <f>+TOT!H78</f>
        <v>7260</v>
      </c>
      <c r="E75" s="345">
        <f>+TOT!J78</f>
        <v>7004</v>
      </c>
      <c r="F75" s="345">
        <f>+TOT!L78</f>
        <v>3541</v>
      </c>
      <c r="G75" s="345">
        <f>+TOT!N78</f>
        <v>2060</v>
      </c>
      <c r="H75" s="345">
        <f>+TOT!P78</f>
        <v>4080</v>
      </c>
      <c r="I75" s="345">
        <f>+TOT!T78</f>
        <v>2460</v>
      </c>
      <c r="J75" s="345">
        <f>+TOT!R78</f>
        <v>2980</v>
      </c>
      <c r="K75" s="345">
        <f>+TOT!V78</f>
        <v>3310</v>
      </c>
    </row>
    <row r="76" spans="1:11" x14ac:dyDescent="0.3">
      <c r="A76" s="345" t="s">
        <v>73</v>
      </c>
      <c r="B76" s="345">
        <f>+TOT!D79</f>
        <v>27420</v>
      </c>
      <c r="C76" s="345">
        <f>+TOT!F79</f>
        <v>63330</v>
      </c>
      <c r="D76" s="345">
        <f>+TOT!H79</f>
        <v>51980</v>
      </c>
      <c r="E76" s="345">
        <f>+TOT!J79</f>
        <v>47416</v>
      </c>
      <c r="F76" s="345">
        <f>+TOT!L79</f>
        <v>30293</v>
      </c>
      <c r="G76" s="345">
        <f>+TOT!N79</f>
        <v>15130</v>
      </c>
      <c r="H76" s="345">
        <f>+TOT!P79</f>
        <v>30200</v>
      </c>
      <c r="I76" s="345">
        <f>+TOT!T79</f>
        <v>14450</v>
      </c>
      <c r="J76" s="345">
        <f>+TOT!R79</f>
        <v>17300</v>
      </c>
      <c r="K76" s="345">
        <f>+TOT!V79</f>
        <v>31370</v>
      </c>
    </row>
    <row r="77" spans="1:11" x14ac:dyDescent="0.3">
      <c r="A77" s="343" t="s">
        <v>90</v>
      </c>
      <c r="B77" s="343">
        <f>+TOT!D80</f>
        <v>54000</v>
      </c>
      <c r="C77" s="343">
        <f>+TOT!F80</f>
        <v>174320</v>
      </c>
      <c r="D77" s="343">
        <f>+TOT!H80</f>
        <v>120300</v>
      </c>
      <c r="E77" s="343">
        <f>+TOT!J80</f>
        <v>112600</v>
      </c>
      <c r="F77" s="343">
        <f>+TOT!L80</f>
        <v>78750</v>
      </c>
      <c r="G77" s="343">
        <f>+TOT!N80</f>
        <v>37800</v>
      </c>
      <c r="H77" s="343">
        <f>+TOT!P80</f>
        <v>52500</v>
      </c>
      <c r="I77" s="343">
        <f>+TOT!T80</f>
        <v>58000</v>
      </c>
      <c r="J77" s="343">
        <f>+TOT!R80</f>
        <v>40500</v>
      </c>
      <c r="K77" s="343">
        <f>+TOT!V80</f>
        <v>45800</v>
      </c>
    </row>
    <row r="78" spans="1:11" x14ac:dyDescent="0.3">
      <c r="A78" s="344" t="s">
        <v>74</v>
      </c>
      <c r="B78" s="344">
        <f>+TOT!D81</f>
        <v>9040</v>
      </c>
      <c r="C78" s="344">
        <f>+TOT!F81</f>
        <v>30320</v>
      </c>
      <c r="D78" s="344">
        <f>+TOT!H81</f>
        <v>20300</v>
      </c>
      <c r="E78" s="344">
        <f>+TOT!J81</f>
        <v>18000</v>
      </c>
      <c r="F78" s="344">
        <f>+TOT!L81</f>
        <v>13200</v>
      </c>
      <c r="G78" s="344">
        <f>+TOT!N81</f>
        <v>6550</v>
      </c>
      <c r="H78" s="344">
        <f>+TOT!P81</f>
        <v>9700</v>
      </c>
      <c r="I78" s="344">
        <f>+TOT!T81</f>
        <v>7900</v>
      </c>
      <c r="J78" s="344">
        <f>+TOT!R81</f>
        <v>6600</v>
      </c>
      <c r="K78" s="344">
        <f>+TOT!V81</f>
        <v>9500</v>
      </c>
    </row>
    <row r="79" spans="1:11" x14ac:dyDescent="0.3">
      <c r="A79" s="344" t="s">
        <v>75</v>
      </c>
      <c r="B79" s="344">
        <f>+TOT!D82</f>
        <v>9500</v>
      </c>
      <c r="C79" s="344">
        <f>+TOT!F82</f>
        <v>34300</v>
      </c>
      <c r="D79" s="344">
        <f>+TOT!H82</f>
        <v>24800</v>
      </c>
      <c r="E79" s="344">
        <f>+TOT!J82</f>
        <v>22600</v>
      </c>
      <c r="F79" s="344">
        <f>+TOT!L82</f>
        <v>16400</v>
      </c>
      <c r="G79" s="344">
        <f>+TOT!N82</f>
        <v>7950</v>
      </c>
      <c r="H79" s="344">
        <f>+TOT!P82</f>
        <v>10700</v>
      </c>
      <c r="I79" s="344">
        <f>+TOT!T82</f>
        <v>8500</v>
      </c>
      <c r="J79" s="344">
        <f>+TOT!R82</f>
        <v>7300</v>
      </c>
      <c r="K79" s="344">
        <f>+TOT!V82</f>
        <v>10600</v>
      </c>
    </row>
    <row r="80" spans="1:11" x14ac:dyDescent="0.3">
      <c r="A80" s="344" t="s">
        <v>76</v>
      </c>
      <c r="B80" s="344">
        <f>+TOT!D83</f>
        <v>9660</v>
      </c>
      <c r="C80" s="344">
        <f>+TOT!F83</f>
        <v>25280</v>
      </c>
      <c r="D80" s="344">
        <f>+TOT!H83</f>
        <v>15000</v>
      </c>
      <c r="E80" s="344">
        <f>+TOT!J83</f>
        <v>14200</v>
      </c>
      <c r="F80" s="344">
        <f>+TOT!L83</f>
        <v>9300</v>
      </c>
      <c r="G80" s="344">
        <f>+TOT!N83</f>
        <v>5000</v>
      </c>
      <c r="H80" s="344">
        <f>+TOT!P83</f>
        <v>7600</v>
      </c>
      <c r="I80" s="344">
        <f>+TOT!T83</f>
        <v>6300</v>
      </c>
      <c r="J80" s="344">
        <f>+TOT!R83</f>
        <v>5290</v>
      </c>
      <c r="K80" s="344">
        <f>+TOT!V83</f>
        <v>6800</v>
      </c>
    </row>
    <row r="81" spans="1:11" x14ac:dyDescent="0.3">
      <c r="A81" s="344" t="s">
        <v>77</v>
      </c>
      <c r="B81" s="344">
        <f>+TOT!D84</f>
        <v>10900</v>
      </c>
      <c r="C81" s="344">
        <f>+TOT!F84</f>
        <v>39000</v>
      </c>
      <c r="D81" s="344">
        <f>+TOT!H84</f>
        <v>28800</v>
      </c>
      <c r="E81" s="344">
        <f>+TOT!J84</f>
        <v>27800</v>
      </c>
      <c r="F81" s="344">
        <f>+TOT!L84</f>
        <v>18850</v>
      </c>
      <c r="G81" s="344">
        <f>+TOT!N84</f>
        <v>8050</v>
      </c>
      <c r="H81" s="344">
        <f>+TOT!P84</f>
        <v>10100</v>
      </c>
      <c r="I81" s="344">
        <f>+TOT!T84</f>
        <v>9100</v>
      </c>
      <c r="J81" s="344">
        <f>+TOT!R84</f>
        <v>7800</v>
      </c>
      <c r="K81" s="344">
        <f>+TOT!V84</f>
        <v>8600</v>
      </c>
    </row>
    <row r="82" spans="1:11" x14ac:dyDescent="0.3">
      <c r="A82" s="344" t="s">
        <v>78</v>
      </c>
      <c r="B82" s="344">
        <f>+TOT!D85</f>
        <v>4400</v>
      </c>
      <c r="C82" s="344">
        <f>+TOT!F85</f>
        <v>17640</v>
      </c>
      <c r="D82" s="344">
        <f>+TOT!H85</f>
        <v>13160</v>
      </c>
      <c r="E82" s="344">
        <f>+TOT!J85</f>
        <v>12600</v>
      </c>
      <c r="F82" s="344">
        <f>+TOT!L85</f>
        <v>8100</v>
      </c>
      <c r="G82" s="344">
        <f>+TOT!N85</f>
        <v>4250</v>
      </c>
      <c r="H82" s="344">
        <f>+TOT!P85</f>
        <v>4400</v>
      </c>
      <c r="I82" s="344">
        <f>+TOT!T85</f>
        <v>4600</v>
      </c>
      <c r="J82" s="344">
        <f>+TOT!R85</f>
        <v>4010</v>
      </c>
      <c r="K82" s="344">
        <f>+TOT!V85</f>
        <v>5700</v>
      </c>
    </row>
    <row r="83" spans="1:11" x14ac:dyDescent="0.3">
      <c r="F83" s="192"/>
      <c r="G83" s="192"/>
      <c r="H83" s="192"/>
      <c r="I83" s="192"/>
      <c r="J83" s="192"/>
      <c r="K83" s="19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329A7-3D84-4DD2-8F24-D8333BDC1562}">
  <sheetPr>
    <tabColor rgb="FF66FF99"/>
  </sheetPr>
  <dimension ref="A2:X84"/>
  <sheetViews>
    <sheetView workbookViewId="0">
      <pane xSplit="1" ySplit="3" topLeftCell="B31" activePane="bottomRight" state="frozen"/>
      <selection pane="topRight" activeCell="B1" sqref="B1"/>
      <selection pane="bottomLeft" activeCell="A4" sqref="A4"/>
      <selection pane="bottomRight" activeCell="T28" sqref="T28:X53"/>
    </sheetView>
  </sheetViews>
  <sheetFormatPr defaultColWidth="9.109375" defaultRowHeight="14.4" x14ac:dyDescent="0.3"/>
  <cols>
    <col min="1" max="1" width="19.109375" style="183" customWidth="1"/>
    <col min="2" max="3" width="11.109375" style="183" bestFit="1" customWidth="1"/>
    <col min="4" max="4" width="12.33203125" style="183" customWidth="1"/>
    <col min="5" max="11" width="11.109375" style="183" bestFit="1" customWidth="1"/>
    <col min="12" max="19" width="9.109375" style="183"/>
    <col min="20" max="20" width="13.6640625" style="183" customWidth="1"/>
    <col min="21" max="22" width="9.109375" style="183"/>
    <col min="23" max="23" width="10.44140625" style="183" customWidth="1"/>
    <col min="24" max="16384" width="9.109375" style="183"/>
  </cols>
  <sheetData>
    <row r="2" spans="1:24" x14ac:dyDescent="0.3">
      <c r="B2" s="339" t="s">
        <v>156</v>
      </c>
      <c r="C2" s="340"/>
      <c r="D2" s="340"/>
      <c r="E2" s="340"/>
      <c r="F2" s="340"/>
      <c r="G2" s="340"/>
      <c r="H2" s="340"/>
      <c r="I2" s="340"/>
      <c r="J2" s="340"/>
      <c r="K2" s="340"/>
    </row>
    <row r="3" spans="1:24" x14ac:dyDescent="0.3">
      <c r="B3" s="341" t="s">
        <v>2</v>
      </c>
      <c r="C3" s="341" t="s">
        <v>3</v>
      </c>
      <c r="D3" s="341" t="s">
        <v>150</v>
      </c>
      <c r="E3" s="341" t="s">
        <v>151</v>
      </c>
      <c r="F3" s="341" t="s">
        <v>152</v>
      </c>
      <c r="G3" s="341" t="s">
        <v>7</v>
      </c>
      <c r="H3" s="341" t="s">
        <v>8</v>
      </c>
      <c r="I3" s="341" t="s">
        <v>10</v>
      </c>
      <c r="J3" s="341" t="s">
        <v>153</v>
      </c>
      <c r="K3" s="341" t="s">
        <v>11</v>
      </c>
    </row>
    <row r="4" spans="1:24" x14ac:dyDescent="0.3">
      <c r="A4" s="346" t="s">
        <v>87</v>
      </c>
      <c r="B4" s="346">
        <f>'Stock debut annee'!B3+'Doses Recues'!B3</f>
        <v>41600</v>
      </c>
      <c r="C4" s="346">
        <f>'Stock debut annee'!C3+'Doses Recues'!C3</f>
        <v>60180</v>
      </c>
      <c r="D4" s="346">
        <f>'Stock debut annee'!D3+'Doses Recues'!D3</f>
        <v>55020</v>
      </c>
      <c r="E4" s="346">
        <f>'Stock debut annee'!E3+'Doses Recues'!E3</f>
        <v>50476</v>
      </c>
      <c r="F4" s="346">
        <f>'Stock debut annee'!F3+'Doses Recues'!F3</f>
        <v>32469</v>
      </c>
      <c r="G4" s="346">
        <f>'Stock debut annee'!G3+'Doses Recues'!G3</f>
        <v>18960</v>
      </c>
      <c r="H4" s="346">
        <f>'Stock debut annee'!H3+'Doses Recues'!H3</f>
        <v>36040</v>
      </c>
      <c r="I4" s="346">
        <f>'Stock debut annee'!I3+'Doses Recues'!I3</f>
        <v>21080</v>
      </c>
      <c r="J4" s="346">
        <f>'Stock debut annee'!J3+'Doses Recues'!J3</f>
        <v>21270</v>
      </c>
      <c r="K4" s="346">
        <f>'Stock debut annee'!K3+'Doses Recues'!K3</f>
        <v>42030</v>
      </c>
    </row>
    <row r="5" spans="1:24" ht="43.2" x14ac:dyDescent="0.3">
      <c r="A5" s="344" t="s">
        <v>100</v>
      </c>
      <c r="B5" s="344">
        <f>'Stock debut annee'!B4+'Doses Recues'!B4</f>
        <v>1480</v>
      </c>
      <c r="C5" s="344">
        <f>'Stock debut annee'!C4+'Doses Recues'!C4</f>
        <v>2840</v>
      </c>
      <c r="D5" s="344">
        <f>'Stock debut annee'!D4+'Doses Recues'!D4</f>
        <v>2550</v>
      </c>
      <c r="E5" s="344">
        <f>'Stock debut annee'!E4+'Doses Recues'!E4</f>
        <v>2206</v>
      </c>
      <c r="F5" s="344">
        <f>'Stock debut annee'!F4+'Doses Recues'!F4</f>
        <v>1530</v>
      </c>
      <c r="G5" s="344">
        <f>'Stock debut annee'!G4+'Doses Recues'!G4</f>
        <v>900</v>
      </c>
      <c r="H5" s="344">
        <f>'Stock debut annee'!H4+'Doses Recues'!H4</f>
        <v>1730</v>
      </c>
      <c r="I5" s="344">
        <f>'Stock debut annee'!I4+'Doses Recues'!I4</f>
        <v>1090</v>
      </c>
      <c r="J5" s="344">
        <f>'Stock debut annee'!J4+'Doses Recues'!J4</f>
        <v>860</v>
      </c>
      <c r="K5" s="344">
        <f>'Stock debut annee'!K4+'Doses Recues'!K4</f>
        <v>1700</v>
      </c>
      <c r="N5" s="362" t="s">
        <v>157</v>
      </c>
      <c r="O5" s="363" t="s">
        <v>158</v>
      </c>
      <c r="P5" s="363" t="s">
        <v>175</v>
      </c>
      <c r="Q5" s="363" t="s">
        <v>176</v>
      </c>
      <c r="R5" s="363" t="s">
        <v>159</v>
      </c>
      <c r="T5" s="372" t="s">
        <v>157</v>
      </c>
      <c r="U5" s="373" t="s">
        <v>204</v>
      </c>
      <c r="V5" s="373" t="s">
        <v>212</v>
      </c>
      <c r="W5" s="363" t="s">
        <v>211</v>
      </c>
      <c r="X5" s="374" t="s">
        <v>205</v>
      </c>
    </row>
    <row r="6" spans="1:24" x14ac:dyDescent="0.3">
      <c r="A6" s="344" t="s">
        <v>101</v>
      </c>
      <c r="B6" s="344">
        <f>'Stock debut annee'!B5+'Doses Recues'!B5</f>
        <v>6360</v>
      </c>
      <c r="C6" s="344">
        <f>'Stock debut annee'!C5+'Doses Recues'!C5</f>
        <v>13420</v>
      </c>
      <c r="D6" s="344">
        <f>'Stock debut annee'!D5+'Doses Recues'!D5</f>
        <v>10220</v>
      </c>
      <c r="E6" s="344">
        <f>'Stock debut annee'!E5+'Doses Recues'!E5</f>
        <v>10224</v>
      </c>
      <c r="F6" s="344">
        <f>'Stock debut annee'!F5+'Doses Recues'!F5</f>
        <v>6350</v>
      </c>
      <c r="G6" s="344">
        <f>'Stock debut annee'!G5+'Doses Recues'!G5</f>
        <v>2555</v>
      </c>
      <c r="H6" s="344">
        <f>'Stock debut annee'!H5+'Doses Recues'!H5</f>
        <v>7090</v>
      </c>
      <c r="I6" s="344">
        <f>'Stock debut annee'!I5+'Doses Recues'!I5</f>
        <v>3610</v>
      </c>
      <c r="J6" s="344">
        <f>'Stock debut annee'!J5+'Doses Recues'!J5</f>
        <v>3690</v>
      </c>
      <c r="K6" s="344">
        <f>'Stock debut annee'!K5+'Doses Recues'!K5</f>
        <v>6110</v>
      </c>
      <c r="N6" s="364" t="s">
        <v>160</v>
      </c>
      <c r="O6" s="365" t="s">
        <v>161</v>
      </c>
      <c r="P6" s="365" t="s">
        <v>162</v>
      </c>
      <c r="Q6" s="366">
        <f>D68</f>
        <v>38400</v>
      </c>
      <c r="R6" s="367">
        <v>0</v>
      </c>
      <c r="T6" s="375" t="s">
        <v>177</v>
      </c>
      <c r="U6" s="370" t="s">
        <v>206</v>
      </c>
      <c r="V6" s="371" t="s">
        <v>207</v>
      </c>
      <c r="W6" s="381">
        <f>+H16</f>
        <v>6990</v>
      </c>
      <c r="X6" s="376">
        <v>-0.13</v>
      </c>
    </row>
    <row r="7" spans="1:24" ht="28.2" x14ac:dyDescent="0.3">
      <c r="A7" s="344" t="s">
        <v>102</v>
      </c>
      <c r="B7" s="344">
        <f>'Stock debut annee'!B6+'Doses Recues'!B6</f>
        <v>4620</v>
      </c>
      <c r="C7" s="344">
        <f>'Stock debut annee'!C6+'Doses Recues'!C6</f>
        <v>11540</v>
      </c>
      <c r="D7" s="344">
        <f>'Stock debut annee'!D6+'Doses Recues'!D6</f>
        <v>8820</v>
      </c>
      <c r="E7" s="344">
        <f>'Stock debut annee'!E6+'Doses Recues'!E6</f>
        <v>9032</v>
      </c>
      <c r="F7" s="344">
        <f>'Stock debut annee'!F6+'Doses Recues'!F6</f>
        <v>5657</v>
      </c>
      <c r="G7" s="344">
        <f>'Stock debut annee'!G6+'Doses Recues'!G6</f>
        <v>2530</v>
      </c>
      <c r="H7" s="344">
        <f>'Stock debut annee'!H6+'Doses Recues'!H6</f>
        <v>3790</v>
      </c>
      <c r="I7" s="344">
        <f>'Stock debut annee'!I6+'Doses Recues'!I6</f>
        <v>3320</v>
      </c>
      <c r="J7" s="344">
        <f>'Stock debut annee'!J6+'Doses Recues'!J6</f>
        <v>2870</v>
      </c>
      <c r="K7" s="344">
        <f>'Stock debut annee'!K6+'Doses Recues'!K6</f>
        <v>3860</v>
      </c>
      <c r="N7" s="364" t="s">
        <v>163</v>
      </c>
      <c r="O7" s="365" t="s">
        <v>164</v>
      </c>
      <c r="P7" s="365" t="s">
        <v>165</v>
      </c>
      <c r="Q7" s="366">
        <f>D69</f>
        <v>56490</v>
      </c>
      <c r="R7" s="367">
        <v>0</v>
      </c>
      <c r="T7" s="377" t="s">
        <v>208</v>
      </c>
      <c r="U7" s="378" t="s">
        <v>209</v>
      </c>
      <c r="V7" s="379" t="s">
        <v>210</v>
      </c>
      <c r="W7" s="382">
        <f>+H73</f>
        <v>47510</v>
      </c>
      <c r="X7" s="380">
        <v>0</v>
      </c>
    </row>
    <row r="8" spans="1:24" x14ac:dyDescent="0.3">
      <c r="A8" s="344" t="s">
        <v>34</v>
      </c>
      <c r="B8" s="344">
        <f>'Stock debut annee'!B7+'Doses Recues'!B7</f>
        <v>1320</v>
      </c>
      <c r="C8" s="344">
        <f>'Stock debut annee'!C7+'Doses Recues'!C7</f>
        <v>2860</v>
      </c>
      <c r="D8" s="344">
        <f>'Stock debut annee'!D7+'Doses Recues'!D7</f>
        <v>2040</v>
      </c>
      <c r="E8" s="344">
        <f>'Stock debut annee'!E7+'Doses Recues'!E7</f>
        <v>1948</v>
      </c>
      <c r="F8" s="344">
        <f>'Stock debut annee'!F7+'Doses Recues'!F7</f>
        <v>1414</v>
      </c>
      <c r="G8" s="344">
        <f>'Stock debut annee'!G7+'Doses Recues'!G7</f>
        <v>560</v>
      </c>
      <c r="H8" s="344">
        <f>'Stock debut annee'!H7+'Doses Recues'!H7</f>
        <v>2950</v>
      </c>
      <c r="I8" s="344">
        <f>'Stock debut annee'!I7+'Doses Recues'!I7</f>
        <v>780</v>
      </c>
      <c r="J8" s="344">
        <f>'Stock debut annee'!J7+'Doses Recues'!J7</f>
        <v>670</v>
      </c>
      <c r="K8" s="344">
        <f>'Stock debut annee'!K7+'Doses Recues'!K7</f>
        <v>1230</v>
      </c>
      <c r="N8" s="364" t="s">
        <v>66</v>
      </c>
      <c r="O8" s="365" t="s">
        <v>166</v>
      </c>
      <c r="P8" s="365" t="s">
        <v>167</v>
      </c>
      <c r="Q8" s="366">
        <f>D70</f>
        <v>49580</v>
      </c>
      <c r="R8" s="367">
        <v>0.01</v>
      </c>
    </row>
    <row r="9" spans="1:24" x14ac:dyDescent="0.3">
      <c r="A9" s="344" t="s">
        <v>103</v>
      </c>
      <c r="B9" s="344">
        <f>'Stock debut annee'!B8+'Doses Recues'!B8</f>
        <v>1380</v>
      </c>
      <c r="C9" s="344">
        <f>'Stock debut annee'!C8+'Doses Recues'!C8</f>
        <v>2640</v>
      </c>
      <c r="D9" s="344">
        <f>'Stock debut annee'!D8+'Doses Recues'!D8</f>
        <v>2160</v>
      </c>
      <c r="E9" s="344">
        <f>'Stock debut annee'!E8+'Doses Recues'!E8</f>
        <v>1932</v>
      </c>
      <c r="F9" s="344">
        <f>'Stock debut annee'!F8+'Doses Recues'!F8</f>
        <v>1602</v>
      </c>
      <c r="G9" s="344">
        <f>'Stock debut annee'!G8+'Doses Recues'!G8</f>
        <v>800</v>
      </c>
      <c r="H9" s="344">
        <f>'Stock debut annee'!H8+'Doses Recues'!H8</f>
        <v>1380</v>
      </c>
      <c r="I9" s="344">
        <f>'Stock debut annee'!I8+'Doses Recues'!I8</f>
        <v>940</v>
      </c>
      <c r="J9" s="344">
        <f>'Stock debut annee'!J8+'Doses Recues'!J8</f>
        <v>1020</v>
      </c>
      <c r="K9" s="344">
        <f>'Stock debut annee'!K8+'Doses Recues'!K8</f>
        <v>2090</v>
      </c>
      <c r="N9" s="364" t="s">
        <v>168</v>
      </c>
      <c r="O9" s="365" t="s">
        <v>169</v>
      </c>
      <c r="P9" s="365" t="s">
        <v>170</v>
      </c>
      <c r="Q9" s="366">
        <f>D74</f>
        <v>45970</v>
      </c>
      <c r="R9" s="367">
        <v>0.01</v>
      </c>
    </row>
    <row r="10" spans="1:24" x14ac:dyDescent="0.3">
      <c r="A10" s="344" t="s">
        <v>104</v>
      </c>
      <c r="B10" s="344">
        <f>'Stock debut annee'!B9+'Doses Recues'!B9</f>
        <v>3120</v>
      </c>
      <c r="C10" s="344">
        <f>'Stock debut annee'!C9+'Doses Recues'!C9</f>
        <v>5340</v>
      </c>
      <c r="D10" s="344">
        <f>'Stock debut annee'!D9+'Doses Recues'!D9</f>
        <v>4330</v>
      </c>
      <c r="E10" s="344">
        <f>'Stock debut annee'!E9+'Doses Recues'!E9</f>
        <v>4298</v>
      </c>
      <c r="F10" s="344">
        <f>'Stock debut annee'!F9+'Doses Recues'!F9</f>
        <v>2478</v>
      </c>
      <c r="G10" s="344">
        <f>'Stock debut annee'!G9+'Doses Recues'!G9</f>
        <v>1365</v>
      </c>
      <c r="H10" s="344">
        <f>'Stock debut annee'!H9+'Doses Recues'!H9</f>
        <v>2780</v>
      </c>
      <c r="I10" s="344">
        <f>'Stock debut annee'!I9+'Doses Recues'!I9</f>
        <v>1860</v>
      </c>
      <c r="J10" s="344">
        <f>'Stock debut annee'!J9+'Doses Recues'!J9</f>
        <v>1710</v>
      </c>
      <c r="K10" s="344">
        <f>'Stock debut annee'!K9+'Doses Recues'!K9</f>
        <v>3020</v>
      </c>
      <c r="N10" s="364" t="s">
        <v>71</v>
      </c>
      <c r="O10" s="365" t="s">
        <v>171</v>
      </c>
      <c r="P10" s="365" t="s">
        <v>172</v>
      </c>
      <c r="Q10" s="366">
        <f>D75</f>
        <v>64010</v>
      </c>
      <c r="R10" s="367">
        <v>0.01</v>
      </c>
    </row>
    <row r="11" spans="1:24" x14ac:dyDescent="0.3">
      <c r="A11" s="344" t="s">
        <v>105</v>
      </c>
      <c r="B11" s="344">
        <f>'Stock debut annee'!B10+'Doses Recues'!B10</f>
        <v>6760</v>
      </c>
      <c r="C11" s="344">
        <f>'Stock debut annee'!C10+'Doses Recues'!C10</f>
        <v>9840</v>
      </c>
      <c r="D11" s="344">
        <f>'Stock debut annee'!D10+'Doses Recues'!D10</f>
        <v>7830</v>
      </c>
      <c r="E11" s="344">
        <f>'Stock debut annee'!E10+'Doses Recues'!E10</f>
        <v>6080</v>
      </c>
      <c r="F11" s="344">
        <f>'Stock debut annee'!F10+'Doses Recues'!F10</f>
        <v>4814</v>
      </c>
      <c r="G11" s="344">
        <f>'Stock debut annee'!G10+'Doses Recues'!G10</f>
        <v>3200</v>
      </c>
      <c r="H11" s="344">
        <f>'Stock debut annee'!H10+'Doses Recues'!H10</f>
        <v>5610</v>
      </c>
      <c r="I11" s="344">
        <f>'Stock debut annee'!I10+'Doses Recues'!I10</f>
        <v>3640</v>
      </c>
      <c r="J11" s="344">
        <f>'Stock debut annee'!J10+'Doses Recues'!J10</f>
        <v>3290</v>
      </c>
      <c r="K11" s="344">
        <f>'Stock debut annee'!K10+'Doses Recues'!K10</f>
        <v>4450</v>
      </c>
      <c r="N11" s="364" t="s">
        <v>28</v>
      </c>
      <c r="O11" s="365" t="s">
        <v>173</v>
      </c>
      <c r="P11" s="365" t="s">
        <v>174</v>
      </c>
      <c r="Q11" s="366">
        <f>D60</f>
        <v>56310</v>
      </c>
      <c r="R11" s="367">
        <v>0.01</v>
      </c>
    </row>
    <row r="12" spans="1:24" x14ac:dyDescent="0.3">
      <c r="A12" s="346" t="s">
        <v>85</v>
      </c>
      <c r="B12" s="346">
        <f>'Stock debut annee'!B11+'Doses Recues'!B11</f>
        <v>37020</v>
      </c>
      <c r="C12" s="346">
        <f>'Stock debut annee'!C11+'Doses Recues'!C11</f>
        <v>95480</v>
      </c>
      <c r="D12" s="346">
        <f>'Stock debut annee'!D11+'Doses Recues'!D11</f>
        <v>84590</v>
      </c>
      <c r="E12" s="346">
        <f>'Stock debut annee'!E11+'Doses Recues'!E11</f>
        <v>83256</v>
      </c>
      <c r="F12" s="346">
        <f>'Stock debut annee'!F11+'Doses Recues'!F11</f>
        <v>52080</v>
      </c>
      <c r="G12" s="346">
        <f>'Stock debut annee'!G11+'Doses Recues'!G11</f>
        <v>29030</v>
      </c>
      <c r="H12" s="346">
        <f>'Stock debut annee'!H11+'Doses Recues'!H11</f>
        <v>68270</v>
      </c>
      <c r="I12" s="346">
        <f>'Stock debut annee'!I11+'Doses Recues'!I11</f>
        <v>29700</v>
      </c>
      <c r="J12" s="346">
        <f>'Stock debut annee'!J11+'Doses Recues'!J11</f>
        <v>31410</v>
      </c>
      <c r="K12" s="346">
        <f>'Stock debut annee'!K11+'Doses Recues'!K11</f>
        <v>51950</v>
      </c>
    </row>
    <row r="13" spans="1:24" x14ac:dyDescent="0.3">
      <c r="A13" s="344" t="s">
        <v>57</v>
      </c>
      <c r="B13" s="344">
        <f>'Stock debut annee'!B12+'Doses Recues'!B12</f>
        <v>3160</v>
      </c>
      <c r="C13" s="344">
        <f>'Stock debut annee'!C12+'Doses Recues'!C12</f>
        <v>10810</v>
      </c>
      <c r="D13" s="344">
        <f>'Stock debut annee'!D12+'Doses Recues'!D12</f>
        <v>9060</v>
      </c>
      <c r="E13" s="344">
        <f>'Stock debut annee'!E12+'Doses Recues'!E12</f>
        <v>8032</v>
      </c>
      <c r="F13" s="344">
        <f>'Stock debut annee'!F12+'Doses Recues'!F12</f>
        <v>4647</v>
      </c>
      <c r="G13" s="344">
        <f>'Stock debut annee'!G12+'Doses Recues'!G12</f>
        <v>3300</v>
      </c>
      <c r="H13" s="344">
        <f>'Stock debut annee'!H12+'Doses Recues'!H12</f>
        <v>5070</v>
      </c>
      <c r="I13" s="344">
        <f>'Stock debut annee'!I12+'Doses Recues'!I12</f>
        <v>3229</v>
      </c>
      <c r="J13" s="344">
        <f>'Stock debut annee'!J12+'Doses Recues'!J12</f>
        <v>4879</v>
      </c>
      <c r="K13" s="344">
        <f>'Stock debut annee'!K12+'Doses Recues'!K12</f>
        <v>5280</v>
      </c>
    </row>
    <row r="14" spans="1:24" ht="54" x14ac:dyDescent="0.35">
      <c r="A14" s="344" t="s">
        <v>58</v>
      </c>
      <c r="B14" s="344">
        <f>'Stock debut annee'!B13+'Doses Recues'!B13</f>
        <v>13060</v>
      </c>
      <c r="C14" s="344">
        <f>'Stock debut annee'!C13+'Doses Recues'!C13</f>
        <v>31360</v>
      </c>
      <c r="D14" s="344">
        <f>'Stock debut annee'!D13+'Doses Recues'!D13</f>
        <v>29790</v>
      </c>
      <c r="E14" s="344">
        <f>'Stock debut annee'!E13+'Doses Recues'!E13</f>
        <v>28322</v>
      </c>
      <c r="F14" s="344">
        <f>'Stock debut annee'!F13+'Doses Recues'!F13</f>
        <v>17871</v>
      </c>
      <c r="G14" s="344">
        <f>'Stock debut annee'!G13+'Doses Recues'!G13</f>
        <v>9120</v>
      </c>
      <c r="H14" s="344">
        <f>'Stock debut annee'!H13+'Doses Recues'!H13</f>
        <v>14910</v>
      </c>
      <c r="I14" s="344">
        <f>'Stock debut annee'!I13+'Doses Recues'!I13</f>
        <v>10622</v>
      </c>
      <c r="J14" s="344">
        <f>'Stock debut annee'!J13+'Doses Recues'!J13</f>
        <v>10486</v>
      </c>
      <c r="K14" s="344">
        <f>'Stock debut annee'!K13+'Doses Recues'!K13</f>
        <v>17510</v>
      </c>
      <c r="N14" s="368" t="s">
        <v>157</v>
      </c>
      <c r="O14" s="357" t="s">
        <v>158</v>
      </c>
      <c r="P14" s="363" t="s">
        <v>175</v>
      </c>
      <c r="Q14" s="363" t="s">
        <v>176</v>
      </c>
      <c r="R14" s="357" t="s">
        <v>159</v>
      </c>
      <c r="T14" s="388" t="s">
        <v>157</v>
      </c>
      <c r="U14" s="383" t="s">
        <v>204</v>
      </c>
      <c r="V14" s="383" t="s">
        <v>212</v>
      </c>
      <c r="W14" s="384" t="s">
        <v>211</v>
      </c>
      <c r="X14" s="385" t="s">
        <v>205</v>
      </c>
    </row>
    <row r="15" spans="1:24" ht="36" x14ac:dyDescent="0.35">
      <c r="A15" s="344" t="s">
        <v>59</v>
      </c>
      <c r="B15" s="344">
        <f>'Stock debut annee'!B14+'Doses Recues'!B14</f>
        <v>8920</v>
      </c>
      <c r="C15" s="344">
        <f>'Stock debut annee'!C14+'Doses Recues'!C14</f>
        <v>15980</v>
      </c>
      <c r="D15" s="344">
        <f>'Stock debut annee'!D14+'Doses Recues'!D14</f>
        <v>14100</v>
      </c>
      <c r="E15" s="344">
        <f>'Stock debut annee'!E14+'Doses Recues'!E14</f>
        <v>14174</v>
      </c>
      <c r="F15" s="344">
        <f>'Stock debut annee'!F14+'Doses Recues'!F14</f>
        <v>10358</v>
      </c>
      <c r="G15" s="344">
        <f>'Stock debut annee'!G14+'Doses Recues'!G14</f>
        <v>5128</v>
      </c>
      <c r="H15" s="344">
        <f>'Stock debut annee'!H14+'Doses Recues'!H14</f>
        <v>8300</v>
      </c>
      <c r="I15" s="344">
        <f>'Stock debut annee'!I14+'Doses Recues'!I14</f>
        <v>5910</v>
      </c>
      <c r="J15" s="344">
        <f>'Stock debut annee'!J14+'Doses Recues'!J14</f>
        <v>5120</v>
      </c>
      <c r="K15" s="344">
        <f>'Stock debut annee'!K14+'Doses Recues'!K14</f>
        <v>9600</v>
      </c>
      <c r="N15" s="369" t="s">
        <v>177</v>
      </c>
      <c r="O15" s="361" t="s">
        <v>178</v>
      </c>
      <c r="P15" s="361" t="s">
        <v>179</v>
      </c>
      <c r="Q15" s="361">
        <f>D16</f>
        <v>14830</v>
      </c>
      <c r="R15" s="359">
        <v>0.16</v>
      </c>
      <c r="T15" s="389" t="s">
        <v>194</v>
      </c>
      <c r="U15" s="386" t="s">
        <v>213</v>
      </c>
      <c r="V15" s="386" t="s">
        <v>214</v>
      </c>
      <c r="W15" s="386">
        <f>+H10</f>
        <v>2780</v>
      </c>
      <c r="X15" s="391">
        <v>0.25</v>
      </c>
    </row>
    <row r="16" spans="1:24" ht="28.8" x14ac:dyDescent="0.35">
      <c r="A16" s="344" t="s">
        <v>60</v>
      </c>
      <c r="B16" s="344">
        <f>'Stock debut annee'!B15+'Doses Recues'!B15</f>
        <v>6540</v>
      </c>
      <c r="C16" s="344">
        <f>'Stock debut annee'!C15+'Doses Recues'!C15</f>
        <v>16290</v>
      </c>
      <c r="D16" s="344">
        <f>'Stock debut annee'!D15+'Doses Recues'!D15</f>
        <v>14830</v>
      </c>
      <c r="E16" s="344">
        <f>'Stock debut annee'!E15+'Doses Recues'!E15</f>
        <v>14162</v>
      </c>
      <c r="F16" s="344">
        <f>'Stock debut annee'!F15+'Doses Recues'!F15</f>
        <v>9492</v>
      </c>
      <c r="G16" s="344">
        <f>'Stock debut annee'!G15+'Doses Recues'!G15</f>
        <v>5495</v>
      </c>
      <c r="H16" s="344">
        <f>'Stock debut annee'!H15+'Doses Recues'!H15</f>
        <v>6990</v>
      </c>
      <c r="I16" s="344">
        <f>'Stock debut annee'!I15+'Doses Recues'!I15</f>
        <v>5178</v>
      </c>
      <c r="J16" s="344">
        <f>'Stock debut annee'!J15+'Doses Recues'!J15</f>
        <v>6250</v>
      </c>
      <c r="K16" s="344">
        <f>'Stock debut annee'!K15+'Doses Recues'!K15</f>
        <v>8170</v>
      </c>
      <c r="N16" s="358" t="s">
        <v>180</v>
      </c>
      <c r="O16" s="361" t="s">
        <v>181</v>
      </c>
      <c r="P16" s="361" t="s">
        <v>182</v>
      </c>
      <c r="Q16" s="361">
        <f>D14</f>
        <v>29790</v>
      </c>
      <c r="R16" s="359">
        <v>0.13</v>
      </c>
      <c r="T16" s="390" t="s">
        <v>62</v>
      </c>
      <c r="U16" s="387" t="s">
        <v>215</v>
      </c>
      <c r="V16" s="387" t="s">
        <v>216</v>
      </c>
      <c r="W16" s="387">
        <f>+H18</f>
        <v>3980</v>
      </c>
      <c r="X16" s="392">
        <v>0.25</v>
      </c>
    </row>
    <row r="17" spans="1:24" ht="18" x14ac:dyDescent="0.35">
      <c r="A17" s="344" t="s">
        <v>61</v>
      </c>
      <c r="B17" s="344">
        <f>'Stock debut annee'!B16+'Doses Recues'!B16</f>
        <v>2100</v>
      </c>
      <c r="C17" s="344">
        <f>'Stock debut annee'!C16+'Doses Recues'!C16</f>
        <v>6300</v>
      </c>
      <c r="D17" s="344">
        <f>'Stock debut annee'!D16+'Doses Recues'!D16</f>
        <v>4680</v>
      </c>
      <c r="E17" s="344">
        <f>'Stock debut annee'!E16+'Doses Recues'!E16</f>
        <v>4828</v>
      </c>
      <c r="F17" s="344">
        <f>'Stock debut annee'!F16+'Doses Recues'!F16</f>
        <v>4150</v>
      </c>
      <c r="G17" s="344">
        <f>'Stock debut annee'!G16+'Doses Recues'!G16</f>
        <v>1325</v>
      </c>
      <c r="H17" s="344">
        <f>'Stock debut annee'!H16+'Doses Recues'!H16</f>
        <v>4150</v>
      </c>
      <c r="I17" s="344">
        <f>'Stock debut annee'!I16+'Doses Recues'!I16</f>
        <v>2830</v>
      </c>
      <c r="J17" s="344">
        <f>'Stock debut annee'!J16+'Doses Recues'!J16</f>
        <v>3120</v>
      </c>
      <c r="K17" s="344">
        <f>'Stock debut annee'!K16+'Doses Recues'!K16</f>
        <v>3390</v>
      </c>
      <c r="N17" s="358" t="s">
        <v>183</v>
      </c>
      <c r="O17" s="361" t="s">
        <v>184</v>
      </c>
      <c r="P17" s="361" t="s">
        <v>185</v>
      </c>
      <c r="Q17" s="361">
        <f>D8</f>
        <v>2040</v>
      </c>
      <c r="R17" s="359">
        <v>0.12</v>
      </c>
    </row>
    <row r="18" spans="1:24" ht="43.2" x14ac:dyDescent="0.35">
      <c r="A18" s="344" t="s">
        <v>62</v>
      </c>
      <c r="B18" s="344">
        <f>'Stock debut annee'!B17+'Doses Recues'!B17</f>
        <v>3580</v>
      </c>
      <c r="C18" s="344">
        <f>'Stock debut annee'!C17+'Doses Recues'!C17</f>
        <v>9700</v>
      </c>
      <c r="D18" s="344">
        <f>'Stock debut annee'!D17+'Doses Recues'!D17</f>
        <v>7260</v>
      </c>
      <c r="E18" s="344">
        <f>'Stock debut annee'!E17+'Doses Recues'!E17</f>
        <v>7556</v>
      </c>
      <c r="F18" s="344">
        <f>'Stock debut annee'!F17+'Doses Recues'!F17</f>
        <v>3834</v>
      </c>
      <c r="G18" s="344">
        <f>'Stock debut annee'!G17+'Doses Recues'!G17</f>
        <v>2705</v>
      </c>
      <c r="H18" s="344">
        <f>'Stock debut annee'!H17+'Doses Recues'!H17</f>
        <v>3980</v>
      </c>
      <c r="I18" s="344">
        <f>'Stock debut annee'!I17+'Doses Recues'!I17</f>
        <v>2360</v>
      </c>
      <c r="J18" s="344">
        <f>'Stock debut annee'!J17+'Doses Recues'!J17</f>
        <v>3070</v>
      </c>
      <c r="K18" s="344">
        <f>'Stock debut annee'!K17+'Doses Recues'!K17</f>
        <v>3630</v>
      </c>
      <c r="N18" s="358" t="s">
        <v>186</v>
      </c>
      <c r="O18" s="361" t="s">
        <v>187</v>
      </c>
      <c r="P18" s="361" t="s">
        <v>188</v>
      </c>
      <c r="Q18" s="361">
        <f>D80</f>
        <v>25360</v>
      </c>
      <c r="R18" s="359">
        <v>0.11</v>
      </c>
      <c r="T18" s="393" t="s">
        <v>157</v>
      </c>
      <c r="U18" s="394" t="s">
        <v>217</v>
      </c>
      <c r="V18" s="394" t="s">
        <v>235</v>
      </c>
      <c r="W18" s="384" t="s">
        <v>234</v>
      </c>
      <c r="X18" s="395" t="s">
        <v>218</v>
      </c>
    </row>
    <row r="19" spans="1:24" ht="36" x14ac:dyDescent="0.35">
      <c r="A19" s="346" t="s">
        <v>91</v>
      </c>
      <c r="B19" s="346">
        <f>'Stock debut annee'!B18+'Doses Recues'!B18</f>
        <v>144560</v>
      </c>
      <c r="C19" s="346">
        <f>'Stock debut annee'!C18+'Doses Recues'!C18</f>
        <v>411140</v>
      </c>
      <c r="D19" s="346">
        <f>'Stock debut annee'!D18+'Doses Recues'!D18</f>
        <v>320660</v>
      </c>
      <c r="E19" s="346">
        <f>'Stock debut annee'!E18+'Doses Recues'!E18</f>
        <v>316224</v>
      </c>
      <c r="F19" s="346">
        <f>'Stock debut annee'!F18+'Doses Recues'!F18</f>
        <v>207848</v>
      </c>
      <c r="G19" s="346">
        <f>'Stock debut annee'!G18+'Doses Recues'!G18</f>
        <v>99470</v>
      </c>
      <c r="H19" s="346">
        <f>'Stock debut annee'!H18+'Doses Recues'!H18</f>
        <v>195000</v>
      </c>
      <c r="I19" s="346">
        <f>'Stock debut annee'!I18+'Doses Recues'!I18</f>
        <v>127630</v>
      </c>
      <c r="J19" s="346">
        <f>'Stock debut annee'!J18+'Doses Recues'!J18</f>
        <v>118250</v>
      </c>
      <c r="K19" s="346">
        <f>'Stock debut annee'!K18+'Doses Recues'!K18</f>
        <v>169340</v>
      </c>
      <c r="N19" s="358" t="s">
        <v>189</v>
      </c>
      <c r="O19" s="361" t="s">
        <v>190</v>
      </c>
      <c r="P19" s="361" t="s">
        <v>191</v>
      </c>
      <c r="Q19" s="361">
        <f>D5</f>
        <v>2550</v>
      </c>
      <c r="R19" s="359">
        <v>0.09</v>
      </c>
      <c r="T19" s="396" t="s">
        <v>59</v>
      </c>
      <c r="U19" s="360" t="s">
        <v>219</v>
      </c>
      <c r="V19" s="360" t="s">
        <v>220</v>
      </c>
      <c r="W19" s="361">
        <f>C15</f>
        <v>15980</v>
      </c>
      <c r="X19" s="397">
        <v>-0.02</v>
      </c>
    </row>
    <row r="20" spans="1:24" ht="18" x14ac:dyDescent="0.35">
      <c r="A20" s="344" t="s">
        <v>14</v>
      </c>
      <c r="B20" s="344">
        <f>'Stock debut annee'!B19+'Doses Recues'!B19</f>
        <v>15440</v>
      </c>
      <c r="C20" s="344">
        <f>'Stock debut annee'!C19+'Doses Recues'!C19</f>
        <v>33940</v>
      </c>
      <c r="D20" s="344">
        <f>'Stock debut annee'!D19+'Doses Recues'!D19</f>
        <v>29760</v>
      </c>
      <c r="E20" s="344">
        <f>'Stock debut annee'!E19+'Doses Recues'!E19</f>
        <v>27890</v>
      </c>
      <c r="F20" s="344">
        <f>'Stock debut annee'!F19+'Doses Recues'!F19</f>
        <v>19199</v>
      </c>
      <c r="G20" s="344">
        <f>'Stock debut annee'!G19+'Doses Recues'!G19</f>
        <v>9650</v>
      </c>
      <c r="H20" s="344">
        <f>'Stock debut annee'!H19+'Doses Recues'!H19</f>
        <v>18070</v>
      </c>
      <c r="I20" s="344">
        <f>'Stock debut annee'!I19+'Doses Recues'!I19</f>
        <v>11760</v>
      </c>
      <c r="J20" s="344">
        <f>'Stock debut annee'!J19+'Doses Recues'!J19</f>
        <v>9010</v>
      </c>
      <c r="K20" s="344">
        <f>'Stock debut annee'!K19+'Doses Recues'!K19</f>
        <v>15730</v>
      </c>
      <c r="N20" s="358" t="s">
        <v>55</v>
      </c>
      <c r="O20" s="361" t="s">
        <v>192</v>
      </c>
      <c r="P20" s="361" t="s">
        <v>193</v>
      </c>
      <c r="Q20" s="361">
        <f>D51</f>
        <v>2770</v>
      </c>
      <c r="R20" s="359">
        <v>0.09</v>
      </c>
      <c r="T20" s="396" t="s">
        <v>55</v>
      </c>
      <c r="U20" s="360" t="s">
        <v>221</v>
      </c>
      <c r="V20" s="360" t="s">
        <v>222</v>
      </c>
      <c r="W20" s="361">
        <f>+C51</f>
        <v>4060</v>
      </c>
      <c r="X20" s="397">
        <v>-0.06</v>
      </c>
    </row>
    <row r="21" spans="1:24" ht="18" x14ac:dyDescent="0.35">
      <c r="A21" s="344" t="s">
        <v>15</v>
      </c>
      <c r="B21" s="344">
        <f>'Stock debut annee'!B20+'Doses Recues'!B20</f>
        <v>7160</v>
      </c>
      <c r="C21" s="344">
        <f>'Stock debut annee'!C20+'Doses Recues'!C20</f>
        <v>17200</v>
      </c>
      <c r="D21" s="344">
        <f>'Stock debut annee'!D20+'Doses Recues'!D20</f>
        <v>13440</v>
      </c>
      <c r="E21" s="344">
        <f>'Stock debut annee'!E20+'Doses Recues'!E20</f>
        <v>13322</v>
      </c>
      <c r="F21" s="344">
        <f>'Stock debut annee'!F20+'Doses Recues'!F20</f>
        <v>9258</v>
      </c>
      <c r="G21" s="344">
        <f>'Stock debut annee'!G20+'Doses Recues'!G20</f>
        <v>4840</v>
      </c>
      <c r="H21" s="344">
        <f>'Stock debut annee'!H20+'Doses Recues'!H20</f>
        <v>9060</v>
      </c>
      <c r="I21" s="344">
        <f>'Stock debut annee'!I20+'Doses Recues'!I20</f>
        <v>5750</v>
      </c>
      <c r="J21" s="344">
        <f>'Stock debut annee'!J20+'Doses Recues'!J20</f>
        <v>5700</v>
      </c>
      <c r="K21" s="344">
        <f>'Stock debut annee'!K20+'Doses Recues'!K20</f>
        <v>8590</v>
      </c>
      <c r="N21" s="358" t="s">
        <v>194</v>
      </c>
      <c r="O21" s="361" t="s">
        <v>195</v>
      </c>
      <c r="P21" s="361" t="s">
        <v>196</v>
      </c>
      <c r="Q21" s="361">
        <f>D10</f>
        <v>4330</v>
      </c>
      <c r="R21" s="359">
        <v>0.08</v>
      </c>
      <c r="T21" s="396" t="s">
        <v>160</v>
      </c>
      <c r="U21" s="360" t="s">
        <v>223</v>
      </c>
      <c r="V21" s="360" t="s">
        <v>224</v>
      </c>
      <c r="W21" s="361">
        <f>C68</f>
        <v>49840</v>
      </c>
      <c r="X21" s="397">
        <v>0</v>
      </c>
    </row>
    <row r="22" spans="1:24" ht="36" x14ac:dyDescent="0.35">
      <c r="A22" s="344" t="s">
        <v>16</v>
      </c>
      <c r="B22" s="344">
        <f>'Stock debut annee'!B21+'Doses Recues'!B21</f>
        <v>19620</v>
      </c>
      <c r="C22" s="344">
        <f>'Stock debut annee'!C21+'Doses Recues'!C21</f>
        <v>48600</v>
      </c>
      <c r="D22" s="344">
        <f>'Stock debut annee'!D21+'Doses Recues'!D21</f>
        <v>36680</v>
      </c>
      <c r="E22" s="344">
        <f>'Stock debut annee'!E21+'Doses Recues'!E21</f>
        <v>39794</v>
      </c>
      <c r="F22" s="344">
        <f>'Stock debut annee'!F21+'Doses Recues'!F21</f>
        <v>21525</v>
      </c>
      <c r="G22" s="344">
        <f>'Stock debut annee'!G21+'Doses Recues'!G21</f>
        <v>14620</v>
      </c>
      <c r="H22" s="344">
        <f>'Stock debut annee'!H21+'Doses Recues'!H21</f>
        <v>23240</v>
      </c>
      <c r="I22" s="344">
        <f>'Stock debut annee'!I21+'Doses Recues'!I21</f>
        <v>16460</v>
      </c>
      <c r="J22" s="344">
        <f>'Stock debut annee'!J21+'Doses Recues'!J21</f>
        <v>16120</v>
      </c>
      <c r="K22" s="344">
        <f>'Stock debut annee'!K21+'Doses Recues'!K21</f>
        <v>23620</v>
      </c>
      <c r="N22" s="358" t="s">
        <v>197</v>
      </c>
      <c r="O22" s="361" t="s">
        <v>198</v>
      </c>
      <c r="P22" s="361" t="s">
        <v>199</v>
      </c>
      <c r="Q22" s="361">
        <f>D11</f>
        <v>7830</v>
      </c>
      <c r="R22" s="359">
        <v>7.0000000000000007E-2</v>
      </c>
      <c r="T22" s="396" t="s">
        <v>225</v>
      </c>
      <c r="U22" s="360" t="s">
        <v>226</v>
      </c>
      <c r="V22" s="360" t="s">
        <v>227</v>
      </c>
      <c r="W22" s="361">
        <f>+C72</f>
        <v>81380</v>
      </c>
      <c r="X22" s="397">
        <v>0</v>
      </c>
    </row>
    <row r="23" spans="1:24" ht="18" x14ac:dyDescent="0.35">
      <c r="A23" s="344" t="s">
        <v>17</v>
      </c>
      <c r="B23" s="344">
        <f>'Stock debut annee'!B22+'Doses Recues'!B22</f>
        <v>25740</v>
      </c>
      <c r="C23" s="344">
        <f>'Stock debut annee'!C22+'Doses Recues'!C22</f>
        <v>65740</v>
      </c>
      <c r="D23" s="344">
        <f>'Stock debut annee'!D22+'Doses Recues'!D22</f>
        <v>53490</v>
      </c>
      <c r="E23" s="344">
        <f>'Stock debut annee'!E22+'Doses Recues'!E22</f>
        <v>50254</v>
      </c>
      <c r="F23" s="344">
        <f>'Stock debut annee'!F22+'Doses Recues'!F22</f>
        <v>33147</v>
      </c>
      <c r="G23" s="344">
        <f>'Stock debut annee'!G22+'Doses Recues'!G22</f>
        <v>17240</v>
      </c>
      <c r="H23" s="344">
        <f>'Stock debut annee'!H22+'Doses Recues'!H22</f>
        <v>31420</v>
      </c>
      <c r="I23" s="344">
        <f>'Stock debut annee'!I22+'Doses Recues'!I22</f>
        <v>17920</v>
      </c>
      <c r="J23" s="344">
        <f>'Stock debut annee'!J22+'Doses Recues'!J22</f>
        <v>20130</v>
      </c>
      <c r="K23" s="344">
        <f>'Stock debut annee'!K22+'Doses Recues'!K22</f>
        <v>31330</v>
      </c>
      <c r="N23" s="358" t="s">
        <v>53</v>
      </c>
      <c r="O23" s="361" t="s">
        <v>200</v>
      </c>
      <c r="P23" s="361" t="s">
        <v>201</v>
      </c>
      <c r="Q23" s="361">
        <f>D49</f>
        <v>1960</v>
      </c>
      <c r="R23" s="359">
        <v>7.0000000000000007E-2</v>
      </c>
      <c r="T23" s="396" t="s">
        <v>67</v>
      </c>
      <c r="U23" s="360" t="s">
        <v>228</v>
      </c>
      <c r="V23" s="360" t="s">
        <v>229</v>
      </c>
      <c r="W23" s="361">
        <f>+C71</f>
        <v>107320</v>
      </c>
      <c r="X23" s="397">
        <v>-0.03</v>
      </c>
    </row>
    <row r="24" spans="1:24" ht="18" x14ac:dyDescent="0.35">
      <c r="A24" s="344" t="s">
        <v>18</v>
      </c>
      <c r="B24" s="344">
        <f>'Stock debut annee'!B23+'Doses Recues'!B23</f>
        <v>7000</v>
      </c>
      <c r="C24" s="344">
        <f>'Stock debut annee'!C23+'Doses Recues'!C23</f>
        <v>16940</v>
      </c>
      <c r="D24" s="344">
        <f>'Stock debut annee'!D23+'Doses Recues'!D23</f>
        <v>11750</v>
      </c>
      <c r="E24" s="344">
        <f>'Stock debut annee'!E23+'Doses Recues'!E23</f>
        <v>12548</v>
      </c>
      <c r="F24" s="344">
        <f>'Stock debut annee'!F23+'Doses Recues'!F23</f>
        <v>8506</v>
      </c>
      <c r="G24" s="344">
        <f>'Stock debut annee'!G23+'Doses Recues'!G23</f>
        <v>4730</v>
      </c>
      <c r="H24" s="344">
        <f>'Stock debut annee'!H23+'Doses Recues'!H23</f>
        <v>8810</v>
      </c>
      <c r="I24" s="344">
        <f>'Stock debut annee'!I23+'Doses Recues'!I23</f>
        <v>5370</v>
      </c>
      <c r="J24" s="344">
        <f>'Stock debut annee'!J23+'Doses Recues'!J23</f>
        <v>5330</v>
      </c>
      <c r="K24" s="344">
        <f>'Stock debut annee'!K23+'Doses Recues'!K23</f>
        <v>8940</v>
      </c>
      <c r="N24" s="358" t="s">
        <v>57</v>
      </c>
      <c r="O24" s="361" t="s">
        <v>202</v>
      </c>
      <c r="P24" s="361" t="s">
        <v>203</v>
      </c>
      <c r="Q24" s="361">
        <f>D13</f>
        <v>9060</v>
      </c>
      <c r="R24" s="359">
        <v>7.0000000000000007E-2</v>
      </c>
      <c r="T24" s="396" t="s">
        <v>208</v>
      </c>
      <c r="U24" s="360" t="s">
        <v>230</v>
      </c>
      <c r="V24" s="360" t="s">
        <v>231</v>
      </c>
      <c r="W24" s="361">
        <f>+C73</f>
        <v>89780</v>
      </c>
      <c r="X24" s="397">
        <v>0</v>
      </c>
    </row>
    <row r="25" spans="1:24" x14ac:dyDescent="0.3">
      <c r="A25" s="344" t="s">
        <v>19</v>
      </c>
      <c r="B25" s="344">
        <f>'Stock debut annee'!B24+'Doses Recues'!B24</f>
        <v>17040</v>
      </c>
      <c r="C25" s="344">
        <f>'Stock debut annee'!C24+'Doses Recues'!C24</f>
        <v>39500</v>
      </c>
      <c r="D25" s="344">
        <f>'Stock debut annee'!D24+'Doses Recues'!D24</f>
        <v>29760</v>
      </c>
      <c r="E25" s="344">
        <f>'Stock debut annee'!E24+'Doses Recues'!E24</f>
        <v>30284</v>
      </c>
      <c r="F25" s="344">
        <f>'Stock debut annee'!F24+'Doses Recues'!F24</f>
        <v>19870</v>
      </c>
      <c r="G25" s="344">
        <f>'Stock debut annee'!G24+'Doses Recues'!G24</f>
        <v>11095</v>
      </c>
      <c r="H25" s="344">
        <f>'Stock debut annee'!H24+'Doses Recues'!H24</f>
        <v>19640</v>
      </c>
      <c r="I25" s="344">
        <f>'Stock debut annee'!I24+'Doses Recues'!I24</f>
        <v>12290</v>
      </c>
      <c r="J25" s="344">
        <f>'Stock debut annee'!J24+'Doses Recues'!J24</f>
        <v>12360</v>
      </c>
      <c r="K25" s="344">
        <f>'Stock debut annee'!K24+'Doses Recues'!K24</f>
        <v>21570</v>
      </c>
      <c r="T25" s="398" t="s">
        <v>73</v>
      </c>
      <c r="U25" s="399" t="s">
        <v>232</v>
      </c>
      <c r="V25" s="399" t="s">
        <v>233</v>
      </c>
      <c r="W25" s="401">
        <f>+C77</f>
        <v>63830</v>
      </c>
      <c r="X25" s="400">
        <v>-0.01</v>
      </c>
    </row>
    <row r="26" spans="1:24" x14ac:dyDescent="0.3">
      <c r="A26" s="344" t="s">
        <v>20</v>
      </c>
      <c r="B26" s="344">
        <f>'Stock debut annee'!B25+'Doses Recues'!B25</f>
        <v>10380</v>
      </c>
      <c r="C26" s="344">
        <f>'Stock debut annee'!C25+'Doses Recues'!C25</f>
        <v>22880</v>
      </c>
      <c r="D26" s="344">
        <f>'Stock debut annee'!D25+'Doses Recues'!D25</f>
        <v>18100</v>
      </c>
      <c r="E26" s="344">
        <f>'Stock debut annee'!E25+'Doses Recues'!E25</f>
        <v>18806</v>
      </c>
      <c r="F26" s="344">
        <f>'Stock debut annee'!F25+'Doses Recues'!F25</f>
        <v>11933</v>
      </c>
      <c r="G26" s="344">
        <f>'Stock debut annee'!G25+'Doses Recues'!G25</f>
        <v>7220</v>
      </c>
      <c r="H26" s="344">
        <f>'Stock debut annee'!H25+'Doses Recues'!H25</f>
        <v>12450</v>
      </c>
      <c r="I26" s="344">
        <f>'Stock debut annee'!I25+'Doses Recues'!I25</f>
        <v>7690</v>
      </c>
      <c r="J26" s="344">
        <f>'Stock debut annee'!J25+'Doses Recues'!J25</f>
        <v>7670</v>
      </c>
      <c r="K26" s="344">
        <f>'Stock debut annee'!K25+'Doses Recues'!K25</f>
        <v>10660</v>
      </c>
    </row>
    <row r="27" spans="1:24" x14ac:dyDescent="0.3">
      <c r="A27" s="344" t="s">
        <v>79</v>
      </c>
      <c r="B27" s="344">
        <f>'Stock debut annee'!B26+'Doses Recues'!B26</f>
        <v>15440</v>
      </c>
      <c r="C27" s="344">
        <f>'Stock debut annee'!C26+'Doses Recues'!C26</f>
        <v>41620</v>
      </c>
      <c r="D27" s="344">
        <f>'Stock debut annee'!D26+'Doses Recues'!D26</f>
        <v>32170</v>
      </c>
      <c r="E27" s="344">
        <f>'Stock debut annee'!E26+'Doses Recues'!E26</f>
        <v>32664</v>
      </c>
      <c r="F27" s="344">
        <f>'Stock debut annee'!F26+'Doses Recues'!F26</f>
        <v>21016</v>
      </c>
      <c r="G27" s="344">
        <f>'Stock debut annee'!G26+'Doses Recues'!G26</f>
        <v>9775</v>
      </c>
      <c r="H27" s="344">
        <f>'Stock debut annee'!H26+'Doses Recues'!H26</f>
        <v>20290</v>
      </c>
      <c r="I27" s="344">
        <f>'Stock debut annee'!I26+'Doses Recues'!I26</f>
        <v>12000</v>
      </c>
      <c r="J27" s="344">
        <f>'Stock debut annee'!J26+'Doses Recues'!J26</f>
        <v>11780</v>
      </c>
      <c r="K27" s="344">
        <f>'Stock debut annee'!K26+'Doses Recues'!K26</f>
        <v>19840</v>
      </c>
    </row>
    <row r="28" spans="1:24" ht="24.6" x14ac:dyDescent="0.3">
      <c r="A28" s="346" t="s">
        <v>84</v>
      </c>
      <c r="B28" s="346">
        <f>'Stock debut annee'!B27+'Doses Recues'!B27</f>
        <v>345500</v>
      </c>
      <c r="C28" s="346">
        <f>'Stock debut annee'!C27+'Doses Recues'!C27</f>
        <v>883500</v>
      </c>
      <c r="D28" s="346">
        <f>'Stock debut annee'!D27+'Doses Recues'!D27</f>
        <v>792360</v>
      </c>
      <c r="E28" s="346">
        <f>'Stock debut annee'!E27+'Doses Recues'!E27</f>
        <v>706800</v>
      </c>
      <c r="F28" s="346">
        <f>'Stock debut annee'!F27+'Doses Recues'!F27</f>
        <v>474850</v>
      </c>
      <c r="G28" s="346">
        <f>'Stock debut annee'!G27+'Doses Recues'!G27</f>
        <v>257890</v>
      </c>
      <c r="H28" s="346">
        <f>'Stock debut annee'!H27+'Doses Recues'!H27</f>
        <v>509900</v>
      </c>
      <c r="I28" s="346">
        <f>'Stock debut annee'!I27+'Doses Recues'!I27</f>
        <v>229220</v>
      </c>
      <c r="J28" s="346">
        <f>'Stock debut annee'!J27+'Doses Recues'!J27</f>
        <v>292700</v>
      </c>
      <c r="K28" s="346">
        <f>'Stock debut annee'!K27+'Doses Recues'!K27</f>
        <v>413300</v>
      </c>
      <c r="T28" s="404" t="s">
        <v>157</v>
      </c>
      <c r="U28" s="402" t="s">
        <v>217</v>
      </c>
      <c r="V28" s="402" t="s">
        <v>235</v>
      </c>
      <c r="W28" s="403" t="s">
        <v>234</v>
      </c>
      <c r="X28" s="405" t="s">
        <v>218</v>
      </c>
    </row>
    <row r="29" spans="1:24" x14ac:dyDescent="0.3">
      <c r="A29" s="344" t="s">
        <v>35</v>
      </c>
      <c r="B29" s="344">
        <f>'Stock debut annee'!B28+'Doses Recues'!B28</f>
        <v>22720</v>
      </c>
      <c r="C29" s="344">
        <f>'Stock debut annee'!C28+'Doses Recues'!C28</f>
        <v>69960</v>
      </c>
      <c r="D29" s="344">
        <f>'Stock debut annee'!D28+'Doses Recues'!D28</f>
        <v>49300</v>
      </c>
      <c r="E29" s="344">
        <f>'Stock debut annee'!E28+'Doses Recues'!E28</f>
        <v>51340</v>
      </c>
      <c r="F29" s="344">
        <f>'Stock debut annee'!F28+'Doses Recues'!F28</f>
        <v>26990</v>
      </c>
      <c r="G29" s="344">
        <f>'Stock debut annee'!G28+'Doses Recues'!G28</f>
        <v>18260</v>
      </c>
      <c r="H29" s="344">
        <f>'Stock debut annee'!H28+'Doses Recues'!H28</f>
        <v>41930</v>
      </c>
      <c r="I29" s="344">
        <f>'Stock debut annee'!I28+'Doses Recues'!I28</f>
        <v>12820</v>
      </c>
      <c r="J29" s="344">
        <f>'Stock debut annee'!J28+'Doses Recues'!J28</f>
        <v>19760</v>
      </c>
      <c r="K29" s="344">
        <f>'Stock debut annee'!K28+'Doses Recues'!K28</f>
        <v>38782</v>
      </c>
      <c r="T29" s="406" t="s">
        <v>57</v>
      </c>
      <c r="U29" s="361" t="s">
        <v>236</v>
      </c>
      <c r="V29" s="361" t="s">
        <v>237</v>
      </c>
      <c r="W29" s="407">
        <f>+C13</f>
        <v>10810</v>
      </c>
      <c r="X29" s="408">
        <v>0.18</v>
      </c>
    </row>
    <row r="30" spans="1:24" x14ac:dyDescent="0.3">
      <c r="A30" s="344" t="s">
        <v>36</v>
      </c>
      <c r="B30" s="344">
        <f>'Stock debut annee'!B29+'Doses Recues'!B29</f>
        <v>12740</v>
      </c>
      <c r="C30" s="344">
        <f>'Stock debut annee'!C29+'Doses Recues'!C29</f>
        <v>18360</v>
      </c>
      <c r="D30" s="344">
        <f>'Stock debut annee'!D29+'Doses Recues'!D29</f>
        <v>16850</v>
      </c>
      <c r="E30" s="344">
        <f>'Stock debut annee'!E29+'Doses Recues'!E29</f>
        <v>16464</v>
      </c>
      <c r="F30" s="344">
        <f>'Stock debut annee'!F29+'Doses Recues'!F29</f>
        <v>10428</v>
      </c>
      <c r="G30" s="344">
        <f>'Stock debut annee'!G29+'Doses Recues'!G29</f>
        <v>6220</v>
      </c>
      <c r="H30" s="344">
        <f>'Stock debut annee'!H29+'Doses Recues'!H29</f>
        <v>14270</v>
      </c>
      <c r="I30" s="344">
        <f>'Stock debut annee'!I29+'Doses Recues'!I29</f>
        <v>5670</v>
      </c>
      <c r="J30" s="344">
        <f>'Stock debut annee'!J29+'Doses Recues'!J29</f>
        <v>6620</v>
      </c>
      <c r="K30" s="344">
        <f>'Stock debut annee'!K29+'Doses Recues'!K29</f>
        <v>9926</v>
      </c>
      <c r="T30" s="409" t="s">
        <v>23</v>
      </c>
      <c r="U30" s="361" t="s">
        <v>238</v>
      </c>
      <c r="V30" s="361" t="s">
        <v>239</v>
      </c>
      <c r="W30" s="407">
        <f>+C56</f>
        <v>12750</v>
      </c>
      <c r="X30" s="408">
        <v>0.16</v>
      </c>
    </row>
    <row r="31" spans="1:24" x14ac:dyDescent="0.3">
      <c r="A31" s="344" t="s">
        <v>37</v>
      </c>
      <c r="B31" s="344">
        <f>'Stock debut annee'!B30+'Doses Recues'!B30</f>
        <v>69820</v>
      </c>
      <c r="C31" s="344">
        <f>'Stock debut annee'!C30+'Doses Recues'!C30</f>
        <v>200800</v>
      </c>
      <c r="D31" s="344">
        <f>'Stock debut annee'!D30+'Doses Recues'!D30</f>
        <v>153010</v>
      </c>
      <c r="E31" s="344">
        <f>'Stock debut annee'!E30+'Doses Recues'!E30</f>
        <v>149672</v>
      </c>
      <c r="F31" s="344">
        <f>'Stock debut annee'!F30+'Doses Recues'!F30</f>
        <v>100849</v>
      </c>
      <c r="G31" s="344">
        <f>'Stock debut annee'!G30+'Doses Recues'!G30</f>
        <v>53950</v>
      </c>
      <c r="H31" s="344">
        <f>'Stock debut annee'!H30+'Doses Recues'!H30</f>
        <v>130770</v>
      </c>
      <c r="I31" s="344">
        <f>'Stock debut annee'!I30+'Doses Recues'!I30</f>
        <v>30380</v>
      </c>
      <c r="J31" s="344">
        <f>'Stock debut annee'!J30+'Doses Recues'!J30</f>
        <v>60420</v>
      </c>
      <c r="K31" s="344">
        <f>'Stock debut annee'!K30+'Doses Recues'!K30</f>
        <v>107220</v>
      </c>
      <c r="T31" s="409" t="s">
        <v>186</v>
      </c>
      <c r="U31" s="361" t="s">
        <v>240</v>
      </c>
      <c r="V31" s="361" t="s">
        <v>241</v>
      </c>
      <c r="W31" s="407">
        <f>+C80</f>
        <v>34520</v>
      </c>
      <c r="X31" s="408">
        <v>0.16</v>
      </c>
    </row>
    <row r="32" spans="1:24" x14ac:dyDescent="0.3">
      <c r="A32" s="344" t="s">
        <v>38</v>
      </c>
      <c r="B32" s="344">
        <f>'Stock debut annee'!B31+'Doses Recues'!B31</f>
        <v>16330</v>
      </c>
      <c r="C32" s="344">
        <f>'Stock debut annee'!C31+'Doses Recues'!C31</f>
        <v>46840</v>
      </c>
      <c r="D32" s="344">
        <f>'Stock debut annee'!D31+'Doses Recues'!D31</f>
        <v>34220</v>
      </c>
      <c r="E32" s="344">
        <f>'Stock debut annee'!E31+'Doses Recues'!E31</f>
        <v>34188</v>
      </c>
      <c r="F32" s="344">
        <f>'Stock debut annee'!F31+'Doses Recues'!F31</f>
        <v>24924</v>
      </c>
      <c r="G32" s="344">
        <f>'Stock debut annee'!G31+'Doses Recues'!G31</f>
        <v>14960</v>
      </c>
      <c r="H32" s="344">
        <f>'Stock debut annee'!H31+'Doses Recues'!H31</f>
        <v>21570</v>
      </c>
      <c r="I32" s="344">
        <f>'Stock debut annee'!I31+'Doses Recues'!I31</f>
        <v>6650</v>
      </c>
      <c r="J32" s="344">
        <f>'Stock debut annee'!J31+'Doses Recues'!J31</f>
        <v>10520</v>
      </c>
      <c r="K32" s="344">
        <f>'Stock debut annee'!K31+'Doses Recues'!K31</f>
        <v>23410</v>
      </c>
      <c r="T32" s="409" t="s">
        <v>180</v>
      </c>
      <c r="U32" s="361" t="s">
        <v>242</v>
      </c>
      <c r="V32" s="361" t="s">
        <v>243</v>
      </c>
      <c r="W32" s="407">
        <f>+C14</f>
        <v>31360</v>
      </c>
      <c r="X32" s="408">
        <v>0.14000000000000001</v>
      </c>
    </row>
    <row r="33" spans="1:24" x14ac:dyDescent="0.3">
      <c r="A33" s="344" t="s">
        <v>39</v>
      </c>
      <c r="B33" s="344">
        <f>'Stock debut annee'!B32+'Doses Recues'!B32</f>
        <v>61100</v>
      </c>
      <c r="C33" s="344">
        <f>'Stock debut annee'!C32+'Doses Recues'!C32</f>
        <v>190160</v>
      </c>
      <c r="D33" s="344">
        <f>'Stock debut annee'!D32+'Doses Recues'!D32</f>
        <v>127570</v>
      </c>
      <c r="E33" s="344">
        <f>'Stock debut annee'!E32+'Doses Recues'!E32</f>
        <v>121800</v>
      </c>
      <c r="F33" s="344">
        <f>'Stock debut annee'!F32+'Doses Recues'!F32</f>
        <v>91843</v>
      </c>
      <c r="G33" s="344">
        <f>'Stock debut annee'!G32+'Doses Recues'!G32</f>
        <v>46325</v>
      </c>
      <c r="H33" s="344">
        <f>'Stock debut annee'!H32+'Doses Recues'!H32</f>
        <v>105880</v>
      </c>
      <c r="I33" s="344">
        <f>'Stock debut annee'!I32+'Doses Recues'!I32</f>
        <v>27650</v>
      </c>
      <c r="J33" s="344">
        <f>'Stock debut annee'!J32+'Doses Recues'!J32</f>
        <v>48130</v>
      </c>
      <c r="K33" s="344">
        <f>'Stock debut annee'!K32+'Doses Recues'!K32</f>
        <v>93700</v>
      </c>
      <c r="T33" s="409" t="s">
        <v>177</v>
      </c>
      <c r="U33" s="361" t="s">
        <v>244</v>
      </c>
      <c r="V33" s="361" t="s">
        <v>245</v>
      </c>
      <c r="W33" s="407">
        <f>+C16</f>
        <v>16290</v>
      </c>
      <c r="X33" s="408">
        <v>0.13</v>
      </c>
    </row>
    <row r="34" spans="1:24" x14ac:dyDescent="0.3">
      <c r="A34" s="344" t="s">
        <v>40</v>
      </c>
      <c r="B34" s="344">
        <f>'Stock debut annee'!B33+'Doses Recues'!B33</f>
        <v>50500</v>
      </c>
      <c r="C34" s="344">
        <f>'Stock debut annee'!C33+'Doses Recues'!C33</f>
        <v>176840</v>
      </c>
      <c r="D34" s="344">
        <f>'Stock debut annee'!D33+'Doses Recues'!D33</f>
        <v>125460</v>
      </c>
      <c r="E34" s="344">
        <f>'Stock debut annee'!E33+'Doses Recues'!E33</f>
        <v>125976</v>
      </c>
      <c r="F34" s="344">
        <f>'Stock debut annee'!F33+'Doses Recues'!F33</f>
        <v>85850</v>
      </c>
      <c r="G34" s="344">
        <f>'Stock debut annee'!G33+'Doses Recues'!G33</f>
        <v>45740</v>
      </c>
      <c r="H34" s="344">
        <f>'Stock debut annee'!H33+'Doses Recues'!H33</f>
        <v>105310</v>
      </c>
      <c r="I34" s="344">
        <f>'Stock debut annee'!I33+'Doses Recues'!I33</f>
        <v>31140</v>
      </c>
      <c r="J34" s="344">
        <f>'Stock debut annee'!J33+'Doses Recues'!J33</f>
        <v>48480</v>
      </c>
      <c r="K34" s="344">
        <f>'Stock debut annee'!K33+'Doses Recues'!K33</f>
        <v>79710</v>
      </c>
      <c r="T34" s="409" t="s">
        <v>197</v>
      </c>
      <c r="U34" s="361" t="s">
        <v>246</v>
      </c>
      <c r="V34" s="361" t="s">
        <v>247</v>
      </c>
      <c r="W34" s="407">
        <f>+C11</f>
        <v>9840</v>
      </c>
      <c r="X34" s="408">
        <v>0.12</v>
      </c>
    </row>
    <row r="35" spans="1:24" x14ac:dyDescent="0.3">
      <c r="A35" s="344" t="s">
        <v>41</v>
      </c>
      <c r="B35" s="344">
        <f>'Stock debut annee'!B34+'Doses Recues'!B34</f>
        <v>39160</v>
      </c>
      <c r="C35" s="344">
        <f>'Stock debut annee'!C34+'Doses Recues'!C34</f>
        <v>78280</v>
      </c>
      <c r="D35" s="344">
        <f>'Stock debut annee'!D34+'Doses Recues'!D34</f>
        <v>60910</v>
      </c>
      <c r="E35" s="344">
        <f>'Stock debut annee'!E34+'Doses Recues'!E34</f>
        <v>54304</v>
      </c>
      <c r="F35" s="344">
        <f>'Stock debut annee'!F34+'Doses Recues'!F34</f>
        <v>37300</v>
      </c>
      <c r="G35" s="344">
        <f>'Stock debut annee'!G34+'Doses Recues'!G34</f>
        <v>20750</v>
      </c>
      <c r="H35" s="344">
        <f>'Stock debut annee'!H34+'Doses Recues'!H34</f>
        <v>49710</v>
      </c>
      <c r="I35" s="344">
        <f>'Stock debut annee'!I34+'Doses Recues'!I34</f>
        <v>12930</v>
      </c>
      <c r="J35" s="344">
        <f>'Stock debut annee'!J34+'Doses Recues'!J34</f>
        <v>23140</v>
      </c>
      <c r="K35" s="344">
        <f>'Stock debut annee'!K34+'Doses Recues'!K34</f>
        <v>42490</v>
      </c>
      <c r="T35" s="409" t="s">
        <v>53</v>
      </c>
      <c r="U35" s="361" t="s">
        <v>248</v>
      </c>
      <c r="V35" s="361" t="s">
        <v>249</v>
      </c>
      <c r="W35" s="407">
        <f>+C49</f>
        <v>3210</v>
      </c>
      <c r="X35" s="408">
        <v>0.12</v>
      </c>
    </row>
    <row r="36" spans="1:24" x14ac:dyDescent="0.3">
      <c r="A36" s="344" t="s">
        <v>42</v>
      </c>
      <c r="B36" s="344">
        <f>'Stock debut annee'!B35+'Doses Recues'!B35</f>
        <v>62000</v>
      </c>
      <c r="C36" s="344">
        <f>'Stock debut annee'!C35+'Doses Recues'!C35</f>
        <v>140880</v>
      </c>
      <c r="D36" s="344">
        <f>'Stock debut annee'!D35+'Doses Recues'!D35</f>
        <v>114170</v>
      </c>
      <c r="E36" s="344">
        <f>'Stock debut annee'!E35+'Doses Recues'!E35</f>
        <v>110488</v>
      </c>
      <c r="F36" s="344">
        <f>'Stock debut annee'!F35+'Doses Recues'!F35</f>
        <v>68900</v>
      </c>
      <c r="G36" s="344">
        <f>'Stock debut annee'!G35+'Doses Recues'!G35</f>
        <v>43140</v>
      </c>
      <c r="H36" s="344">
        <f>'Stock debut annee'!H35+'Doses Recues'!H35</f>
        <v>88630</v>
      </c>
      <c r="I36" s="344">
        <f>'Stock debut annee'!I35+'Doses Recues'!I35</f>
        <v>38710</v>
      </c>
      <c r="J36" s="344">
        <f>'Stock debut annee'!J35+'Doses Recues'!J35</f>
        <v>56530</v>
      </c>
      <c r="K36" s="344">
        <f>'Stock debut annee'!K35+'Doses Recues'!K35</f>
        <v>72630</v>
      </c>
      <c r="T36" s="409" t="s">
        <v>250</v>
      </c>
      <c r="U36" s="361" t="s">
        <v>251</v>
      </c>
      <c r="V36" s="361" t="s">
        <v>252</v>
      </c>
      <c r="W36" s="407">
        <f>+C17</f>
        <v>6300</v>
      </c>
      <c r="X36" s="408">
        <v>0.11</v>
      </c>
    </row>
    <row r="37" spans="1:24" x14ac:dyDescent="0.3">
      <c r="A37" s="344" t="s">
        <v>43</v>
      </c>
      <c r="B37" s="344">
        <f>'Stock debut annee'!B36+'Doses Recues'!B36</f>
        <v>42380</v>
      </c>
      <c r="C37" s="344">
        <f>'Stock debut annee'!C36+'Doses Recues'!C36</f>
        <v>120880</v>
      </c>
      <c r="D37" s="344">
        <f>'Stock debut annee'!D36+'Doses Recues'!D36</f>
        <v>79380</v>
      </c>
      <c r="E37" s="344">
        <f>'Stock debut annee'!E36+'Doses Recues'!E36</f>
        <v>78424</v>
      </c>
      <c r="F37" s="344">
        <f>'Stock debut annee'!F36+'Doses Recues'!F36</f>
        <v>49400</v>
      </c>
      <c r="G37" s="344">
        <f>'Stock debut annee'!G36+'Doses Recues'!G36</f>
        <v>32240</v>
      </c>
      <c r="H37" s="344">
        <f>'Stock debut annee'!H36+'Doses Recues'!H36</f>
        <v>66280</v>
      </c>
      <c r="I37" s="344">
        <f>'Stock debut annee'!I36+'Doses Recues'!I36</f>
        <v>28140</v>
      </c>
      <c r="J37" s="344">
        <f>'Stock debut annee'!J36+'Doses Recues'!J36</f>
        <v>37570</v>
      </c>
      <c r="K37" s="344">
        <f>'Stock debut annee'!K36+'Doses Recues'!K36</f>
        <v>56290</v>
      </c>
      <c r="T37" s="409" t="s">
        <v>20</v>
      </c>
      <c r="U37" s="361" t="s">
        <v>253</v>
      </c>
      <c r="V37" s="361" t="s">
        <v>254</v>
      </c>
      <c r="W37" s="407">
        <f>+C26</f>
        <v>22880</v>
      </c>
      <c r="X37" s="408">
        <v>0.11</v>
      </c>
    </row>
    <row r="38" spans="1:24" x14ac:dyDescent="0.3">
      <c r="A38" s="346" t="s">
        <v>88</v>
      </c>
      <c r="B38" s="346">
        <f>'Stock debut annee'!B37+'Doses Recues'!B37</f>
        <v>246420</v>
      </c>
      <c r="C38" s="346">
        <f>'Stock debut annee'!C37+'Doses Recues'!C37</f>
        <v>727860</v>
      </c>
      <c r="D38" s="346">
        <f>'Stock debut annee'!D37+'Doses Recues'!D37</f>
        <v>584250</v>
      </c>
      <c r="E38" s="346">
        <f>'Stock debut annee'!E37+'Doses Recues'!E37</f>
        <v>577020</v>
      </c>
      <c r="F38" s="346">
        <f>'Stock debut annee'!F37+'Doses Recues'!F37</f>
        <v>354375</v>
      </c>
      <c r="G38" s="346">
        <f>'Stock debut annee'!G37+'Doses Recues'!G37</f>
        <v>195980</v>
      </c>
      <c r="H38" s="346">
        <f>'Stock debut annee'!H37+'Doses Recues'!H37</f>
        <v>372300</v>
      </c>
      <c r="I38" s="346">
        <f>'Stock debut annee'!I37+'Doses Recues'!I37</f>
        <v>199220</v>
      </c>
      <c r="J38" s="346">
        <f>'Stock debut annee'!J37+'Doses Recues'!J37</f>
        <v>232660</v>
      </c>
      <c r="K38" s="346">
        <f>'Stock debut annee'!K37+'Doses Recues'!K37</f>
        <v>331600</v>
      </c>
      <c r="T38" s="409" t="s">
        <v>255</v>
      </c>
      <c r="U38" s="361" t="s">
        <v>256</v>
      </c>
      <c r="V38" s="361" t="s">
        <v>257</v>
      </c>
      <c r="W38" s="407">
        <f>+C83</f>
        <v>19620</v>
      </c>
      <c r="X38" s="408">
        <v>0.11</v>
      </c>
    </row>
    <row r="39" spans="1:24" x14ac:dyDescent="0.3">
      <c r="A39" s="344" t="s">
        <v>44</v>
      </c>
      <c r="B39" s="344">
        <f>'Stock debut annee'!B38+'Doses Recues'!B38</f>
        <v>11300</v>
      </c>
      <c r="C39" s="344">
        <f>'Stock debut annee'!C38+'Doses Recues'!C38</f>
        <v>37200</v>
      </c>
      <c r="D39" s="344">
        <f>'Stock debut annee'!D38+'Doses Recues'!D38</f>
        <v>30070</v>
      </c>
      <c r="E39" s="344">
        <f>'Stock debut annee'!E38+'Doses Recues'!E38</f>
        <v>28840</v>
      </c>
      <c r="F39" s="344">
        <f>'Stock debut annee'!F38+'Doses Recues'!F38</f>
        <v>18396</v>
      </c>
      <c r="G39" s="344">
        <f>'Stock debut annee'!G38+'Doses Recues'!G38</f>
        <v>9410</v>
      </c>
      <c r="H39" s="344">
        <f>'Stock debut annee'!H38+'Doses Recues'!H38</f>
        <v>19900</v>
      </c>
      <c r="I39" s="344">
        <f>'Stock debut annee'!I38+'Doses Recues'!I38</f>
        <v>6630</v>
      </c>
      <c r="J39" s="344">
        <f>'Stock debut annee'!J38+'Doses Recues'!J38</f>
        <v>9230</v>
      </c>
      <c r="K39" s="344">
        <f>'Stock debut annee'!K38+'Doses Recues'!K38</f>
        <v>20170</v>
      </c>
      <c r="T39" s="409" t="s">
        <v>46</v>
      </c>
      <c r="U39" s="361" t="s">
        <v>258</v>
      </c>
      <c r="V39" s="361" t="s">
        <v>259</v>
      </c>
      <c r="W39" s="407">
        <f>+C41</f>
        <v>59240</v>
      </c>
      <c r="X39" s="408">
        <v>0.1</v>
      </c>
    </row>
    <row r="40" spans="1:24" x14ac:dyDescent="0.3">
      <c r="A40" s="344" t="s">
        <v>45</v>
      </c>
      <c r="B40" s="344">
        <f>'Stock debut annee'!B39+'Doses Recues'!B39</f>
        <v>3780</v>
      </c>
      <c r="C40" s="344">
        <f>'Stock debut annee'!C39+'Doses Recues'!C39</f>
        <v>10550</v>
      </c>
      <c r="D40" s="344">
        <f>'Stock debut annee'!D39+'Doses Recues'!D39</f>
        <v>7290</v>
      </c>
      <c r="E40" s="344">
        <f>'Stock debut annee'!E39+'Doses Recues'!E39</f>
        <v>8150</v>
      </c>
      <c r="F40" s="344">
        <f>'Stock debut annee'!F39+'Doses Recues'!F39</f>
        <v>5184</v>
      </c>
      <c r="G40" s="344">
        <f>'Stock debut annee'!G39+'Doses Recues'!G39</f>
        <v>2780</v>
      </c>
      <c r="H40" s="344">
        <f>'Stock debut annee'!H39+'Doses Recues'!H39</f>
        <v>4450</v>
      </c>
      <c r="I40" s="344">
        <f>'Stock debut annee'!I39+'Doses Recues'!I39</f>
        <v>2730</v>
      </c>
      <c r="J40" s="344">
        <f>'Stock debut annee'!J39+'Doses Recues'!J39</f>
        <v>2670</v>
      </c>
      <c r="K40" s="344">
        <f>'Stock debut annee'!K39+'Doses Recues'!K39</f>
        <v>4880</v>
      </c>
      <c r="T40" s="409" t="s">
        <v>260</v>
      </c>
      <c r="U40" s="361" t="s">
        <v>261</v>
      </c>
      <c r="V40" s="361" t="s">
        <v>262</v>
      </c>
      <c r="W40" s="407">
        <f>+C79</f>
        <v>31540</v>
      </c>
      <c r="X40" s="408">
        <v>0.1</v>
      </c>
    </row>
    <row r="41" spans="1:24" x14ac:dyDescent="0.3">
      <c r="A41" s="344" t="s">
        <v>46</v>
      </c>
      <c r="B41" s="344">
        <f>'Stock debut annee'!B40+'Doses Recues'!B40</f>
        <v>22140</v>
      </c>
      <c r="C41" s="344">
        <f>'Stock debut annee'!C40+'Doses Recues'!C40</f>
        <v>59240</v>
      </c>
      <c r="D41" s="344">
        <f>'Stock debut annee'!D40+'Doses Recues'!D40</f>
        <v>44520</v>
      </c>
      <c r="E41" s="344">
        <f>'Stock debut annee'!E40+'Doses Recues'!E40</f>
        <v>48400</v>
      </c>
      <c r="F41" s="344">
        <f>'Stock debut annee'!F40+'Doses Recues'!F40</f>
        <v>30581</v>
      </c>
      <c r="G41" s="344">
        <f>'Stock debut annee'!G40+'Doses Recues'!G40</f>
        <v>15710</v>
      </c>
      <c r="H41" s="344">
        <f>'Stock debut annee'!H40+'Doses Recues'!H40</f>
        <v>32110</v>
      </c>
      <c r="I41" s="344">
        <f>'Stock debut annee'!I40+'Doses Recues'!I40</f>
        <v>15820</v>
      </c>
      <c r="J41" s="344">
        <f>'Stock debut annee'!J40+'Doses Recues'!J40</f>
        <v>14440</v>
      </c>
      <c r="K41" s="344">
        <f>'Stock debut annee'!K40+'Doses Recues'!K40</f>
        <v>28840</v>
      </c>
      <c r="T41" s="409" t="s">
        <v>263</v>
      </c>
      <c r="U41" s="361" t="s">
        <v>264</v>
      </c>
      <c r="V41" s="361" t="s">
        <v>265</v>
      </c>
      <c r="W41" s="407">
        <f>+C55</f>
        <v>18040</v>
      </c>
      <c r="X41" s="408">
        <v>0.1</v>
      </c>
    </row>
    <row r="42" spans="1:24" x14ac:dyDescent="0.3">
      <c r="A42" s="344" t="s">
        <v>47</v>
      </c>
      <c r="B42" s="344">
        <f>'Stock debut annee'!B41+'Doses Recues'!B41</f>
        <v>18660</v>
      </c>
      <c r="C42" s="344">
        <f>'Stock debut annee'!C41+'Doses Recues'!C41</f>
        <v>46620</v>
      </c>
      <c r="D42" s="344">
        <f>'Stock debut annee'!D41+'Doses Recues'!D41</f>
        <v>37810</v>
      </c>
      <c r="E42" s="344">
        <f>'Stock debut annee'!E41+'Doses Recues'!E41</f>
        <v>37456</v>
      </c>
      <c r="F42" s="344" t="e">
        <f>'Stock debut annee'!F41+'Doses Recues'!F41</f>
        <v>#VALUE!</v>
      </c>
      <c r="G42" s="344">
        <f>'Stock debut annee'!G41+'Doses Recues'!G41</f>
        <v>12680</v>
      </c>
      <c r="H42" s="344">
        <f>'Stock debut annee'!H41+'Doses Recues'!H41</f>
        <v>24580</v>
      </c>
      <c r="I42" s="344">
        <f>'Stock debut annee'!I41+'Doses Recues'!I41</f>
        <v>9550</v>
      </c>
      <c r="J42" s="344">
        <f>'Stock debut annee'!J41+'Doses Recues'!J41</f>
        <v>10890</v>
      </c>
      <c r="K42" s="344">
        <f>'Stock debut annee'!K41+'Doses Recues'!K41</f>
        <v>23650</v>
      </c>
      <c r="T42" s="409" t="s">
        <v>189</v>
      </c>
      <c r="U42" s="361" t="s">
        <v>266</v>
      </c>
      <c r="V42" s="361" t="s">
        <v>267</v>
      </c>
      <c r="W42" s="407">
        <f>+C5</f>
        <v>2840</v>
      </c>
      <c r="X42" s="408">
        <v>0.1</v>
      </c>
    </row>
    <row r="43" spans="1:24" x14ac:dyDescent="0.3">
      <c r="A43" s="344" t="s">
        <v>48</v>
      </c>
      <c r="B43" s="344">
        <f>'Stock debut annee'!B42+'Doses Recues'!B42</f>
        <v>16820</v>
      </c>
      <c r="C43" s="344">
        <f>'Stock debut annee'!C42+'Doses Recues'!C42</f>
        <v>48340</v>
      </c>
      <c r="D43" s="344">
        <f>'Stock debut annee'!D42+'Doses Recues'!D42</f>
        <v>37830</v>
      </c>
      <c r="E43" s="344">
        <f>'Stock debut annee'!E42+'Doses Recues'!E42</f>
        <v>37536</v>
      </c>
      <c r="F43" s="344">
        <f>'Stock debut annee'!F42+'Doses Recues'!F42</f>
        <v>24497</v>
      </c>
      <c r="G43" s="344">
        <f>'Stock debut annee'!G42+'Doses Recues'!G42</f>
        <v>13970</v>
      </c>
      <c r="H43" s="344">
        <f>'Stock debut annee'!H42+'Doses Recues'!H42</f>
        <v>24170</v>
      </c>
      <c r="I43" s="344">
        <f>'Stock debut annee'!I42+'Doses Recues'!I42</f>
        <v>8740</v>
      </c>
      <c r="J43" s="344">
        <f>'Stock debut annee'!J42+'Doses Recues'!J42</f>
        <v>10510</v>
      </c>
      <c r="K43" s="344">
        <f>'Stock debut annee'!K42+'Doses Recues'!K42</f>
        <v>23010</v>
      </c>
      <c r="T43" s="409" t="s">
        <v>31</v>
      </c>
      <c r="U43" s="361" t="s">
        <v>268</v>
      </c>
      <c r="V43" s="361" t="s">
        <v>269</v>
      </c>
      <c r="W43" s="407">
        <f>+C63</f>
        <v>46230</v>
      </c>
      <c r="X43" s="408">
        <v>0.1</v>
      </c>
    </row>
    <row r="44" spans="1:24" x14ac:dyDescent="0.3">
      <c r="A44" s="344" t="s">
        <v>49</v>
      </c>
      <c r="B44" s="344">
        <f>'Stock debut annee'!B43+'Doses Recues'!B43</f>
        <v>15880</v>
      </c>
      <c r="C44" s="344">
        <f>'Stock debut annee'!C43+'Doses Recues'!C43</f>
        <v>43900</v>
      </c>
      <c r="D44" s="344">
        <f>'Stock debut annee'!D43+'Doses Recues'!D43</f>
        <v>31660</v>
      </c>
      <c r="E44" s="344">
        <f>'Stock debut annee'!E43+'Doses Recues'!E43</f>
        <v>33644</v>
      </c>
      <c r="F44" s="344">
        <f>'Stock debut annee'!F43+'Doses Recues'!F43</f>
        <v>21744</v>
      </c>
      <c r="G44" s="344">
        <f>'Stock debut annee'!G43+'Doses Recues'!G43</f>
        <v>11410</v>
      </c>
      <c r="H44" s="344">
        <f>'Stock debut annee'!H43+'Doses Recues'!H43</f>
        <v>19190</v>
      </c>
      <c r="I44" s="344">
        <f>'Stock debut annee'!I43+'Doses Recues'!I43</f>
        <v>8140</v>
      </c>
      <c r="J44" s="344">
        <f>'Stock debut annee'!J43+'Doses Recues'!J43</f>
        <v>10320</v>
      </c>
      <c r="K44" s="344">
        <f>'Stock debut annee'!K43+'Doses Recues'!K43</f>
        <v>18530</v>
      </c>
      <c r="T44" s="409" t="s">
        <v>194</v>
      </c>
      <c r="U44" s="361" t="s">
        <v>270</v>
      </c>
      <c r="V44" s="361" t="s">
        <v>271</v>
      </c>
      <c r="W44" s="407">
        <f>+C10</f>
        <v>5340</v>
      </c>
      <c r="X44" s="408">
        <v>0.09</v>
      </c>
    </row>
    <row r="45" spans="1:24" x14ac:dyDescent="0.3">
      <c r="A45" s="344" t="s">
        <v>50</v>
      </c>
      <c r="B45" s="344">
        <f>'Stock debut annee'!B44+'Doses Recues'!B44</f>
        <v>24220</v>
      </c>
      <c r="C45" s="344">
        <f>'Stock debut annee'!C44+'Doses Recues'!C44</f>
        <v>80340</v>
      </c>
      <c r="D45" s="344">
        <f>'Stock debut annee'!D44+'Doses Recues'!D44</f>
        <v>59000</v>
      </c>
      <c r="E45" s="344">
        <f>'Stock debut annee'!E44+'Doses Recues'!E44</f>
        <v>61532</v>
      </c>
      <c r="F45" s="344">
        <f>'Stock debut annee'!F44+'Doses Recues'!F44</f>
        <v>40203</v>
      </c>
      <c r="G45" s="344">
        <f>'Stock debut annee'!G44+'Doses Recues'!G44</f>
        <v>22030</v>
      </c>
      <c r="H45" s="344">
        <f>'Stock debut annee'!H44+'Doses Recues'!H44</f>
        <v>42190</v>
      </c>
      <c r="I45" s="344">
        <f>'Stock debut annee'!I44+'Doses Recues'!I44</f>
        <v>14870</v>
      </c>
      <c r="J45" s="344">
        <f>'Stock debut annee'!J44+'Doses Recues'!J44</f>
        <v>18560</v>
      </c>
      <c r="K45" s="344">
        <f>'Stock debut annee'!K44+'Doses Recues'!K44</f>
        <v>40600</v>
      </c>
      <c r="T45" s="409" t="s">
        <v>272</v>
      </c>
      <c r="U45" s="361" t="s">
        <v>273</v>
      </c>
      <c r="V45" s="361" t="s">
        <v>274</v>
      </c>
      <c r="W45" s="407">
        <f>+C23</f>
        <v>65740</v>
      </c>
      <c r="X45" s="408">
        <v>0.09</v>
      </c>
    </row>
    <row r="46" spans="1:24" x14ac:dyDescent="0.3">
      <c r="A46" s="344" t="s">
        <v>56</v>
      </c>
      <c r="B46" s="344">
        <f>'Stock debut annee'!B45+'Doses Recues'!B45</f>
        <v>10160</v>
      </c>
      <c r="C46" s="344">
        <f>'Stock debut annee'!C45+'Doses Recues'!C45</f>
        <v>27680</v>
      </c>
      <c r="D46" s="344">
        <f>'Stock debut annee'!D45+'Doses Recues'!D45</f>
        <v>21180</v>
      </c>
      <c r="E46" s="344">
        <f>'Stock debut annee'!E45+'Doses Recues'!E45</f>
        <v>20964</v>
      </c>
      <c r="F46" s="344">
        <f>'Stock debut annee'!F45+'Doses Recues'!F45</f>
        <v>13143</v>
      </c>
      <c r="G46" s="344">
        <f>'Stock debut annee'!G45+'Doses Recues'!G45</f>
        <v>7280</v>
      </c>
      <c r="H46" s="344">
        <f>'Stock debut annee'!H45+'Doses Recues'!H45</f>
        <v>10890</v>
      </c>
      <c r="I46" s="344">
        <f>'Stock debut annee'!I45+'Doses Recues'!I45</f>
        <v>5750</v>
      </c>
      <c r="J46" s="344">
        <f>'Stock debut annee'!J45+'Doses Recues'!J45</f>
        <v>7040</v>
      </c>
      <c r="K46" s="344">
        <f>'Stock debut annee'!K45+'Doses Recues'!K45</f>
        <v>10230</v>
      </c>
      <c r="T46" s="409" t="s">
        <v>40</v>
      </c>
      <c r="U46" s="361" t="s">
        <v>275</v>
      </c>
      <c r="V46" s="361" t="s">
        <v>276</v>
      </c>
      <c r="W46" s="407">
        <f>+C34</f>
        <v>176840</v>
      </c>
      <c r="X46" s="408">
        <v>0.09</v>
      </c>
    </row>
    <row r="47" spans="1:24" x14ac:dyDescent="0.3">
      <c r="A47" s="344" t="s">
        <v>51</v>
      </c>
      <c r="B47" s="344">
        <f>'Stock debut annee'!B46+'Doses Recues'!B46</f>
        <v>7340</v>
      </c>
      <c r="C47" s="344">
        <f>'Stock debut annee'!C46+'Doses Recues'!C46</f>
        <v>19400</v>
      </c>
      <c r="D47" s="344">
        <f>'Stock debut annee'!D46+'Doses Recues'!D46</f>
        <v>15990</v>
      </c>
      <c r="E47" s="344">
        <f>'Stock debut annee'!E46+'Doses Recues'!E46</f>
        <v>12548</v>
      </c>
      <c r="F47" s="344">
        <f>'Stock debut annee'!F46+'Doses Recues'!F46</f>
        <v>9176</v>
      </c>
      <c r="G47" s="344">
        <f>'Stock debut annee'!G46+'Doses Recues'!G46</f>
        <v>5480</v>
      </c>
      <c r="H47" s="344">
        <f>'Stock debut annee'!H46+'Doses Recues'!H46</f>
        <v>9060</v>
      </c>
      <c r="I47" s="344">
        <f>'Stock debut annee'!I46+'Doses Recues'!I46</f>
        <v>3560</v>
      </c>
      <c r="J47" s="344">
        <f>'Stock debut annee'!J46+'Doses Recues'!J46</f>
        <v>4740</v>
      </c>
      <c r="K47" s="344">
        <f>'Stock debut annee'!K46+'Doses Recues'!K46</f>
        <v>8990</v>
      </c>
      <c r="T47" s="409" t="s">
        <v>277</v>
      </c>
      <c r="U47" s="361" t="s">
        <v>278</v>
      </c>
      <c r="V47" s="361" t="s">
        <v>279</v>
      </c>
      <c r="W47" s="407">
        <f>+C82</f>
        <v>40600</v>
      </c>
      <c r="X47" s="408">
        <v>0.09</v>
      </c>
    </row>
    <row r="48" spans="1:24" x14ac:dyDescent="0.3">
      <c r="A48" s="344" t="s">
        <v>52</v>
      </c>
      <c r="B48" s="344">
        <f>'Stock debut annee'!B47+'Doses Recues'!B47</f>
        <v>16300</v>
      </c>
      <c r="C48" s="344">
        <f>'Stock debut annee'!C47+'Doses Recues'!C47</f>
        <v>52020</v>
      </c>
      <c r="D48" s="344">
        <f>'Stock debut annee'!D47+'Doses Recues'!D47</f>
        <v>36280</v>
      </c>
      <c r="E48" s="344">
        <f>'Stock debut annee'!E47+'Doses Recues'!E47</f>
        <v>34844</v>
      </c>
      <c r="F48" s="344">
        <f>'Stock debut annee'!F47+'Doses Recues'!F47</f>
        <v>21013</v>
      </c>
      <c r="G48" s="344">
        <f>'Stock debut annee'!G47+'Doses Recues'!G47</f>
        <v>13520</v>
      </c>
      <c r="H48" s="344">
        <f>'Stock debut annee'!H47+'Doses Recues'!H47</f>
        <v>23440</v>
      </c>
      <c r="I48" s="344">
        <f>'Stock debut annee'!I47+'Doses Recues'!I47</f>
        <v>14660</v>
      </c>
      <c r="J48" s="344">
        <f>'Stock debut annee'!J47+'Doses Recues'!J47</f>
        <v>13220</v>
      </c>
      <c r="K48" s="344">
        <f>'Stock debut annee'!K47+'Doses Recues'!K47</f>
        <v>20320</v>
      </c>
      <c r="T48" s="409" t="s">
        <v>18</v>
      </c>
      <c r="U48" s="361" t="s">
        <v>280</v>
      </c>
      <c r="V48" s="361" t="s">
        <v>281</v>
      </c>
      <c r="W48" s="407">
        <f>+C24</f>
        <v>16940</v>
      </c>
      <c r="X48" s="408">
        <v>0.08</v>
      </c>
    </row>
    <row r="49" spans="1:24" x14ac:dyDescent="0.3">
      <c r="A49" s="344" t="s">
        <v>53</v>
      </c>
      <c r="B49" s="344">
        <f>'Stock debut annee'!B48+'Doses Recues'!B48</f>
        <v>1140</v>
      </c>
      <c r="C49" s="344">
        <f>'Stock debut annee'!C48+'Doses Recues'!C48</f>
        <v>3210</v>
      </c>
      <c r="D49" s="344">
        <f>'Stock debut annee'!D48+'Doses Recues'!D48</f>
        <v>1960</v>
      </c>
      <c r="E49" s="344">
        <f>'Stock debut annee'!E48+'Doses Recues'!E48</f>
        <v>2144</v>
      </c>
      <c r="F49" s="344">
        <f>'Stock debut annee'!F48+'Doses Recues'!F48</f>
        <v>1279</v>
      </c>
      <c r="G49" s="344">
        <f>'Stock debut annee'!G48+'Doses Recues'!G48</f>
        <v>730</v>
      </c>
      <c r="H49" s="344">
        <f>'Stock debut annee'!H48+'Doses Recues'!H48</f>
        <v>1770</v>
      </c>
      <c r="I49" s="344">
        <f>'Stock debut annee'!I48+'Doses Recues'!I48</f>
        <v>580</v>
      </c>
      <c r="J49" s="344">
        <f>'Stock debut annee'!J48+'Doses Recues'!J48</f>
        <v>650</v>
      </c>
      <c r="K49" s="344">
        <f>'Stock debut annee'!K48+'Doses Recues'!K48</f>
        <v>1590</v>
      </c>
      <c r="T49" s="409" t="s">
        <v>51</v>
      </c>
      <c r="U49" s="361" t="s">
        <v>282</v>
      </c>
      <c r="V49" s="361" t="s">
        <v>283</v>
      </c>
      <c r="W49" s="407">
        <f>+C47</f>
        <v>19400</v>
      </c>
      <c r="X49" s="408">
        <v>0.08</v>
      </c>
    </row>
    <row r="50" spans="1:24" x14ac:dyDescent="0.3">
      <c r="A50" s="344" t="s">
        <v>54</v>
      </c>
      <c r="B50" s="344">
        <f>'Stock debut annee'!B49+'Doses Recues'!B49</f>
        <v>7400</v>
      </c>
      <c r="C50" s="344">
        <f>'Stock debut annee'!C49+'Doses Recues'!C49</f>
        <v>18480</v>
      </c>
      <c r="D50" s="344">
        <f>'Stock debut annee'!D49+'Doses Recues'!D49</f>
        <v>16500</v>
      </c>
      <c r="E50" s="344">
        <f>'Stock debut annee'!E49+'Doses Recues'!E49</f>
        <v>14462</v>
      </c>
      <c r="F50" s="344">
        <f>'Stock debut annee'!F49+'Doses Recues'!F49</f>
        <v>7978</v>
      </c>
      <c r="G50" s="344">
        <f>'Stock debut annee'!G49+'Doses Recues'!G49</f>
        <v>4910</v>
      </c>
      <c r="H50" s="344">
        <f>'Stock debut annee'!H49+'Doses Recues'!H49</f>
        <v>6650</v>
      </c>
      <c r="I50" s="344">
        <f>'Stock debut annee'!I49+'Doses Recues'!I49</f>
        <v>3340</v>
      </c>
      <c r="J50" s="344">
        <f>'Stock debut annee'!J49+'Doses Recues'!J49</f>
        <v>5450</v>
      </c>
      <c r="K50" s="344">
        <f>'Stock debut annee'!K49+'Doses Recues'!K49</f>
        <v>10210</v>
      </c>
      <c r="T50" s="409" t="s">
        <v>284</v>
      </c>
      <c r="U50" s="361" t="s">
        <v>285</v>
      </c>
      <c r="V50" s="361" t="s">
        <v>286</v>
      </c>
      <c r="W50" s="407">
        <f>+C81</f>
        <v>25740</v>
      </c>
      <c r="X50" s="408">
        <v>0.08</v>
      </c>
    </row>
    <row r="51" spans="1:24" x14ac:dyDescent="0.3">
      <c r="A51" s="344" t="s">
        <v>55</v>
      </c>
      <c r="B51" s="344">
        <f>'Stock debut annee'!B50+'Doses Recues'!B50</f>
        <v>1460</v>
      </c>
      <c r="C51" s="344">
        <f>'Stock debut annee'!C50+'Doses Recues'!C50</f>
        <v>4060</v>
      </c>
      <c r="D51" s="344">
        <f>'Stock debut annee'!D50+'Doses Recues'!D50</f>
        <v>2770</v>
      </c>
      <c r="E51" s="344">
        <f>'Stock debut annee'!E50+'Doses Recues'!E50</f>
        <v>3044</v>
      </c>
      <c r="F51" s="344">
        <f>'Stock debut annee'!F50+'Doses Recues'!F50</f>
        <v>1598</v>
      </c>
      <c r="G51" s="344">
        <f>'Stock debut annee'!G50+'Doses Recues'!G50</f>
        <v>1080</v>
      </c>
      <c r="H51" s="344">
        <f>'Stock debut annee'!H50+'Doses Recues'!H50</f>
        <v>1730</v>
      </c>
      <c r="I51" s="344">
        <f>'Stock debut annee'!I50+'Doses Recues'!I50</f>
        <v>1120</v>
      </c>
      <c r="J51" s="344">
        <f>'Stock debut annee'!J50+'Doses Recues'!J50</f>
        <v>1100</v>
      </c>
      <c r="K51" s="344">
        <f>'Stock debut annee'!K50+'Doses Recues'!K50</f>
        <v>2100</v>
      </c>
      <c r="T51" s="409" t="s">
        <v>26</v>
      </c>
      <c r="U51" s="361" t="s">
        <v>287</v>
      </c>
      <c r="V51" s="361" t="s">
        <v>288</v>
      </c>
      <c r="W51" s="407">
        <f>+C58</f>
        <v>47460</v>
      </c>
      <c r="X51" s="408">
        <v>0.08</v>
      </c>
    </row>
    <row r="52" spans="1:24" x14ac:dyDescent="0.3">
      <c r="A52" s="346" t="s">
        <v>89</v>
      </c>
      <c r="B52" s="346">
        <f>'Stock debut annee'!B51+'Doses Recues'!B51</f>
        <v>195900</v>
      </c>
      <c r="C52" s="346">
        <f>'Stock debut annee'!C51+'Doses Recues'!C51</f>
        <v>470840</v>
      </c>
      <c r="D52" s="346">
        <f>'Stock debut annee'!D51+'Doses Recues'!D51</f>
        <v>383120</v>
      </c>
      <c r="E52" s="346">
        <f>'Stock debut annee'!E51+'Doses Recues'!E51</f>
        <v>374760</v>
      </c>
      <c r="F52" s="346">
        <f>'Stock debut annee'!F51+'Doses Recues'!F51</f>
        <v>246600</v>
      </c>
      <c r="G52" s="346">
        <f>'Stock debut annee'!G51+'Doses Recues'!G51</f>
        <v>127670</v>
      </c>
      <c r="H52" s="346">
        <f>'Stock debut annee'!H51+'Doses Recues'!H51</f>
        <v>246870</v>
      </c>
      <c r="I52" s="346">
        <f>'Stock debut annee'!I51+'Doses Recues'!I51</f>
        <v>131700</v>
      </c>
      <c r="J52" s="346">
        <f>'Stock debut annee'!J51+'Doses Recues'!J51</f>
        <v>148670</v>
      </c>
      <c r="K52" s="346">
        <f>'Stock debut annee'!K51+'Doses Recues'!K51</f>
        <v>232670</v>
      </c>
      <c r="T52" s="409" t="s">
        <v>33</v>
      </c>
      <c r="U52" s="361" t="s">
        <v>289</v>
      </c>
      <c r="V52" s="361" t="s">
        <v>290</v>
      </c>
      <c r="W52" s="407">
        <f>+C65</f>
        <v>27480</v>
      </c>
      <c r="X52" s="408">
        <v>0.08</v>
      </c>
    </row>
    <row r="53" spans="1:24" x14ac:dyDescent="0.3">
      <c r="A53" s="344" t="s">
        <v>21</v>
      </c>
      <c r="B53" s="344">
        <f>'Stock debut annee'!B52+'Doses Recues'!B52</f>
        <v>8860</v>
      </c>
      <c r="C53" s="344">
        <f>'Stock debut annee'!C52+'Doses Recues'!C52</f>
        <v>23740</v>
      </c>
      <c r="D53" s="344">
        <f>'Stock debut annee'!D52+'Doses Recues'!D52</f>
        <v>20120</v>
      </c>
      <c r="E53" s="344">
        <f>'Stock debut annee'!E52+'Doses Recues'!E52</f>
        <v>18866</v>
      </c>
      <c r="F53" s="344">
        <f>'Stock debut annee'!F52+'Doses Recues'!F52</f>
        <v>12284</v>
      </c>
      <c r="G53" s="344">
        <f>'Stock debut annee'!G52+'Doses Recues'!G52</f>
        <v>7705</v>
      </c>
      <c r="H53" s="344">
        <f>'Stock debut annee'!H52+'Doses Recues'!H52</f>
        <v>10690</v>
      </c>
      <c r="I53" s="344">
        <f>'Stock debut annee'!I52+'Doses Recues'!I52</f>
        <v>6710</v>
      </c>
      <c r="J53" s="344">
        <f>'Stock debut annee'!J52+'Doses Recues'!J52</f>
        <v>6700</v>
      </c>
      <c r="K53" s="344">
        <f>'Stock debut annee'!K52+'Doses Recues'!K52</f>
        <v>10790</v>
      </c>
      <c r="T53" s="410" t="s">
        <v>291</v>
      </c>
      <c r="U53" s="401" t="s">
        <v>292</v>
      </c>
      <c r="V53" s="401" t="s">
        <v>293</v>
      </c>
      <c r="W53" s="411">
        <f>+C23</f>
        <v>65740</v>
      </c>
      <c r="X53" s="412">
        <v>0.08</v>
      </c>
    </row>
    <row r="54" spans="1:24" x14ac:dyDescent="0.3">
      <c r="A54" s="344" t="s">
        <v>22</v>
      </c>
      <c r="B54" s="344">
        <f>'Stock debut annee'!B53+'Doses Recues'!B53</f>
        <v>2740</v>
      </c>
      <c r="C54" s="344">
        <f>'Stock debut annee'!C53+'Doses Recues'!C53</f>
        <v>7620</v>
      </c>
      <c r="D54" s="344">
        <f>'Stock debut annee'!D53+'Doses Recues'!D53</f>
        <v>6620</v>
      </c>
      <c r="E54" s="344">
        <f>'Stock debut annee'!E53+'Doses Recues'!E53</f>
        <v>6320</v>
      </c>
      <c r="F54" s="344">
        <f>'Stock debut annee'!F53+'Doses Recues'!F53</f>
        <v>3540</v>
      </c>
      <c r="G54" s="344">
        <f>'Stock debut annee'!G53+'Doses Recues'!G53</f>
        <v>3055</v>
      </c>
      <c r="H54" s="344">
        <f>'Stock debut annee'!H53+'Doses Recues'!H53</f>
        <v>3640</v>
      </c>
      <c r="I54" s="344">
        <f>'Stock debut annee'!I53+'Doses Recues'!I53</f>
        <v>2020</v>
      </c>
      <c r="J54" s="344">
        <f>'Stock debut annee'!J53+'Doses Recues'!J53</f>
        <v>2420</v>
      </c>
      <c r="K54" s="344">
        <f>'Stock debut annee'!K53+'Doses Recues'!K53</f>
        <v>3900</v>
      </c>
    </row>
    <row r="55" spans="1:24" x14ac:dyDescent="0.3">
      <c r="A55" s="344" t="s">
        <v>25</v>
      </c>
      <c r="B55" s="344">
        <f>'Stock debut annee'!B54+'Doses Recues'!B54</f>
        <v>7560</v>
      </c>
      <c r="C55" s="344">
        <f>'Stock debut annee'!C54+'Doses Recues'!C54</f>
        <v>18040</v>
      </c>
      <c r="D55" s="344">
        <f>'Stock debut annee'!D54+'Doses Recues'!D54</f>
        <v>15220</v>
      </c>
      <c r="E55" s="344">
        <f>'Stock debut annee'!E54+'Doses Recues'!E54</f>
        <v>13806</v>
      </c>
      <c r="F55" s="344">
        <f>'Stock debut annee'!F54+'Doses Recues'!F54</f>
        <v>9482</v>
      </c>
      <c r="G55" s="344">
        <f>'Stock debut annee'!G54+'Doses Recues'!G54</f>
        <v>4970</v>
      </c>
      <c r="H55" s="344">
        <f>'Stock debut annee'!H54+'Doses Recues'!H54</f>
        <v>8480</v>
      </c>
      <c r="I55" s="344">
        <f>'Stock debut annee'!I54+'Doses Recues'!I54</f>
        <v>5560</v>
      </c>
      <c r="J55" s="344">
        <f>'Stock debut annee'!J54+'Doses Recues'!J54</f>
        <v>4740</v>
      </c>
      <c r="K55" s="344">
        <f>'Stock debut annee'!K54+'Doses Recues'!K54</f>
        <v>7750</v>
      </c>
    </row>
    <row r="56" spans="1:24" x14ac:dyDescent="0.3">
      <c r="A56" s="344" t="s">
        <v>23</v>
      </c>
      <c r="B56" s="344">
        <f>'Stock debut annee'!B55+'Doses Recues'!B55</f>
        <v>4100</v>
      </c>
      <c r="C56" s="344">
        <f>'Stock debut annee'!C55+'Doses Recues'!C55</f>
        <v>12750</v>
      </c>
      <c r="D56" s="344">
        <f>'Stock debut annee'!D55+'Doses Recues'!D55</f>
        <v>9960</v>
      </c>
      <c r="E56" s="344">
        <f>'Stock debut annee'!E55+'Doses Recues'!E55</f>
        <v>8352</v>
      </c>
      <c r="F56" s="344">
        <f>'Stock debut annee'!F55+'Doses Recues'!F55</f>
        <v>5802</v>
      </c>
      <c r="G56" s="344">
        <f>'Stock debut annee'!G55+'Doses Recues'!G55</f>
        <v>3335</v>
      </c>
      <c r="H56" s="344">
        <f>'Stock debut annee'!H55+'Doses Recues'!H55</f>
        <v>4330</v>
      </c>
      <c r="I56" s="344">
        <f>'Stock debut annee'!I55+'Doses Recues'!I55</f>
        <v>3390</v>
      </c>
      <c r="J56" s="344">
        <f>'Stock debut annee'!J55+'Doses Recues'!J55</f>
        <v>3190</v>
      </c>
      <c r="K56" s="344">
        <f>'Stock debut annee'!K55+'Doses Recues'!K55</f>
        <v>4810</v>
      </c>
    </row>
    <row r="57" spans="1:24" x14ac:dyDescent="0.3">
      <c r="A57" s="344" t="s">
        <v>24</v>
      </c>
      <c r="B57" s="344">
        <f>'Stock debut annee'!B56+'Doses Recues'!B56</f>
        <v>6060</v>
      </c>
      <c r="C57" s="344">
        <f>'Stock debut annee'!C56+'Doses Recues'!C56</f>
        <v>16740</v>
      </c>
      <c r="D57" s="344">
        <f>'Stock debut annee'!D56+'Doses Recues'!D56</f>
        <v>12160</v>
      </c>
      <c r="E57" s="344">
        <f>'Stock debut annee'!E56+'Doses Recues'!E56</f>
        <v>11298</v>
      </c>
      <c r="F57" s="344">
        <f>'Stock debut annee'!F56+'Doses Recues'!F56</f>
        <v>6920</v>
      </c>
      <c r="G57" s="344">
        <f>'Stock debut annee'!G56+'Doses Recues'!G56</f>
        <v>4384</v>
      </c>
      <c r="H57" s="344">
        <f>'Stock debut annee'!H56+'Doses Recues'!H56</f>
        <v>7830</v>
      </c>
      <c r="I57" s="344">
        <f>'Stock debut annee'!I56+'Doses Recues'!I56</f>
        <v>4030</v>
      </c>
      <c r="J57" s="344">
        <f>'Stock debut annee'!J56+'Doses Recues'!J56</f>
        <v>4270</v>
      </c>
      <c r="K57" s="344">
        <f>'Stock debut annee'!K56+'Doses Recues'!K56</f>
        <v>8140</v>
      </c>
    </row>
    <row r="58" spans="1:24" x14ac:dyDescent="0.3">
      <c r="A58" s="344" t="s">
        <v>26</v>
      </c>
      <c r="B58" s="344">
        <f>'Stock debut annee'!B57+'Doses Recues'!B57</f>
        <v>18800</v>
      </c>
      <c r="C58" s="344">
        <f>'Stock debut annee'!C57+'Doses Recues'!C57</f>
        <v>47460</v>
      </c>
      <c r="D58" s="344">
        <f>'Stock debut annee'!D57+'Doses Recues'!D57</f>
        <v>36340</v>
      </c>
      <c r="E58" s="344">
        <f>'Stock debut annee'!E57+'Doses Recues'!E57</f>
        <v>35390</v>
      </c>
      <c r="F58" s="344">
        <f>'Stock debut annee'!F57+'Doses Recues'!F57</f>
        <v>24218</v>
      </c>
      <c r="G58" s="344">
        <f>'Stock debut annee'!G57+'Doses Recues'!G57</f>
        <v>12398</v>
      </c>
      <c r="H58" s="344">
        <f>'Stock debut annee'!H57+'Doses Recues'!H57</f>
        <v>21010</v>
      </c>
      <c r="I58" s="344">
        <f>'Stock debut annee'!I57+'Doses Recues'!I57</f>
        <v>11540</v>
      </c>
      <c r="J58" s="344">
        <f>'Stock debut annee'!J57+'Doses Recues'!J57</f>
        <v>12890</v>
      </c>
      <c r="K58" s="344">
        <f>'Stock debut annee'!K57+'Doses Recues'!K57</f>
        <v>19230</v>
      </c>
    </row>
    <row r="59" spans="1:24" x14ac:dyDescent="0.3">
      <c r="A59" s="344" t="s">
        <v>27</v>
      </c>
      <c r="B59" s="344">
        <f>'Stock debut annee'!B58+'Doses Recues'!B58</f>
        <v>14540</v>
      </c>
      <c r="C59" s="344">
        <f>'Stock debut annee'!C58+'Doses Recues'!C58</f>
        <v>34780</v>
      </c>
      <c r="D59" s="344">
        <f>'Stock debut annee'!D58+'Doses Recues'!D58</f>
        <v>27310</v>
      </c>
      <c r="E59" s="344">
        <f>'Stock debut annee'!E58+'Doses Recues'!E58</f>
        <v>25868</v>
      </c>
      <c r="F59" s="344">
        <f>'Stock debut annee'!F58+'Doses Recues'!F58</f>
        <v>17248</v>
      </c>
      <c r="G59" s="344">
        <f>'Stock debut annee'!G58+'Doses Recues'!G58</f>
        <v>9556</v>
      </c>
      <c r="H59" s="344">
        <f>'Stock debut annee'!H58+'Doses Recues'!H58</f>
        <v>16480</v>
      </c>
      <c r="I59" s="344">
        <f>'Stock debut annee'!I58+'Doses Recues'!I58</f>
        <v>7940</v>
      </c>
      <c r="J59" s="344">
        <f>'Stock debut annee'!J58+'Doses Recues'!J58</f>
        <v>9510</v>
      </c>
      <c r="K59" s="344">
        <f>'Stock debut annee'!K58+'Doses Recues'!K58</f>
        <v>15710</v>
      </c>
    </row>
    <row r="60" spans="1:24" x14ac:dyDescent="0.3">
      <c r="A60" s="344" t="s">
        <v>28</v>
      </c>
      <c r="B60" s="344">
        <f>'Stock debut annee'!B59+'Doses Recues'!B59</f>
        <v>27360</v>
      </c>
      <c r="C60" s="344">
        <f>'Stock debut annee'!C59+'Doses Recues'!C59</f>
        <v>75700</v>
      </c>
      <c r="D60" s="344">
        <f>'Stock debut annee'!D59+'Doses Recues'!D59</f>
        <v>56310</v>
      </c>
      <c r="E60" s="344">
        <f>'Stock debut annee'!E59+'Doses Recues'!E59</f>
        <v>53376</v>
      </c>
      <c r="F60" s="344">
        <f>'Stock debut annee'!F59+'Doses Recues'!F59</f>
        <v>37500</v>
      </c>
      <c r="G60" s="344">
        <f>'Stock debut annee'!G59+'Doses Recues'!G59</f>
        <v>19375</v>
      </c>
      <c r="H60" s="344">
        <f>'Stock debut annee'!H59+'Doses Recues'!H59</f>
        <v>32060</v>
      </c>
      <c r="I60" s="344">
        <f>'Stock debut annee'!I59+'Doses Recues'!I59</f>
        <v>17510</v>
      </c>
      <c r="J60" s="344">
        <f>'Stock debut annee'!J59+'Doses Recues'!J59</f>
        <v>22130</v>
      </c>
      <c r="K60" s="344">
        <f>'Stock debut annee'!K59+'Doses Recues'!K59</f>
        <v>25200</v>
      </c>
    </row>
    <row r="61" spans="1:24" x14ac:dyDescent="0.3">
      <c r="A61" s="344" t="s">
        <v>29</v>
      </c>
      <c r="B61" s="344">
        <f>'Stock debut annee'!B60+'Doses Recues'!B60</f>
        <v>17020</v>
      </c>
      <c r="C61" s="344">
        <f>'Stock debut annee'!C60+'Doses Recues'!C60</f>
        <v>40560</v>
      </c>
      <c r="D61" s="344">
        <f>'Stock debut annee'!D60+'Doses Recues'!D60</f>
        <v>33030</v>
      </c>
      <c r="E61" s="344">
        <f>'Stock debut annee'!E60+'Doses Recues'!E60</f>
        <v>32890</v>
      </c>
      <c r="F61" s="344">
        <f>'Stock debut annee'!F60+'Doses Recues'!F60</f>
        <v>22162</v>
      </c>
      <c r="G61" s="344">
        <f>'Stock debut annee'!G60+'Doses Recues'!G60</f>
        <v>13110</v>
      </c>
      <c r="H61" s="344">
        <f>'Stock debut annee'!H60+'Doses Recues'!H60</f>
        <v>20260</v>
      </c>
      <c r="I61" s="344">
        <f>'Stock debut annee'!I60+'Doses Recues'!I60</f>
        <v>12860</v>
      </c>
      <c r="J61" s="344">
        <f>'Stock debut annee'!J60+'Doses Recues'!J60</f>
        <v>13090</v>
      </c>
      <c r="K61" s="344">
        <f>'Stock debut annee'!K60+'Doses Recues'!K60</f>
        <v>18940</v>
      </c>
    </row>
    <row r="62" spans="1:24" x14ac:dyDescent="0.3">
      <c r="A62" s="344" t="s">
        <v>30</v>
      </c>
      <c r="B62" s="344">
        <f>'Stock debut annee'!B61+'Doses Recues'!B61</f>
        <v>9580</v>
      </c>
      <c r="C62" s="344">
        <f>'Stock debut annee'!C61+'Doses Recues'!C61</f>
        <v>23520</v>
      </c>
      <c r="D62" s="344">
        <f>'Stock debut annee'!D61+'Doses Recues'!D61</f>
        <v>19280</v>
      </c>
      <c r="E62" s="344">
        <f>'Stock debut annee'!E61+'Doses Recues'!E61</f>
        <v>18266</v>
      </c>
      <c r="F62" s="344">
        <f>'Stock debut annee'!F61+'Doses Recues'!F61</f>
        <v>12836</v>
      </c>
      <c r="G62" s="344">
        <f>'Stock debut annee'!G61+'Doses Recues'!G61</f>
        <v>6134</v>
      </c>
      <c r="H62" s="344">
        <f>'Stock debut annee'!H61+'Doses Recues'!H61</f>
        <v>8880</v>
      </c>
      <c r="I62" s="344">
        <f>'Stock debut annee'!I61+'Doses Recues'!I61</f>
        <v>7490</v>
      </c>
      <c r="J62" s="344">
        <f>'Stock debut annee'!J61+'Doses Recues'!J61</f>
        <v>6600</v>
      </c>
      <c r="K62" s="344">
        <f>'Stock debut annee'!K61+'Doses Recues'!K61</f>
        <v>9450</v>
      </c>
    </row>
    <row r="63" spans="1:24" x14ac:dyDescent="0.3">
      <c r="A63" s="344" t="s">
        <v>31</v>
      </c>
      <c r="B63" s="344">
        <f>'Stock debut annee'!B62+'Doses Recues'!B62</f>
        <v>17420</v>
      </c>
      <c r="C63" s="344">
        <f>'Stock debut annee'!C62+'Doses Recues'!C62</f>
        <v>46230</v>
      </c>
      <c r="D63" s="344">
        <f>'Stock debut annee'!D62+'Doses Recues'!D62</f>
        <v>41860</v>
      </c>
      <c r="E63" s="344">
        <f>'Stock debut annee'!E62+'Doses Recues'!E62</f>
        <v>40270</v>
      </c>
      <c r="F63" s="344">
        <f>'Stock debut annee'!F62+'Doses Recues'!F62</f>
        <v>24350</v>
      </c>
      <c r="G63" s="344">
        <f>'Stock debut annee'!G62+'Doses Recues'!G62</f>
        <v>14200</v>
      </c>
      <c r="H63" s="344">
        <f>'Stock debut annee'!H62+'Doses Recues'!H62</f>
        <v>25320</v>
      </c>
      <c r="I63" s="344">
        <f>'Stock debut annee'!I62+'Doses Recues'!I62</f>
        <v>14560</v>
      </c>
      <c r="J63" s="344">
        <f>'Stock debut annee'!J62+'Doses Recues'!J62</f>
        <v>16180</v>
      </c>
      <c r="K63" s="344">
        <f>'Stock debut annee'!K62+'Doses Recues'!K62</f>
        <v>25190</v>
      </c>
    </row>
    <row r="64" spans="1:24" x14ac:dyDescent="0.3">
      <c r="A64" s="344" t="s">
        <v>32</v>
      </c>
      <c r="B64" s="344">
        <f>'Stock debut annee'!B63+'Doses Recues'!B63</f>
        <v>15400</v>
      </c>
      <c r="C64" s="344">
        <f>'Stock debut annee'!C63+'Doses Recues'!C63</f>
        <v>40190</v>
      </c>
      <c r="D64" s="344">
        <f>'Stock debut annee'!D63+'Doses Recues'!D63</f>
        <v>29740</v>
      </c>
      <c r="E64" s="344">
        <f>'Stock debut annee'!E63+'Doses Recues'!E63</f>
        <v>29280</v>
      </c>
      <c r="F64" s="344">
        <f>'Stock debut annee'!F63+'Doses Recues'!F63</f>
        <v>20508</v>
      </c>
      <c r="G64" s="344">
        <f>'Stock debut annee'!G63+'Doses Recues'!G63</f>
        <v>10175</v>
      </c>
      <c r="H64" s="344">
        <f>'Stock debut annee'!H63+'Doses Recues'!H63</f>
        <v>17800</v>
      </c>
      <c r="I64" s="344">
        <f>'Stock debut annee'!I63+'Doses Recues'!I63</f>
        <v>11590</v>
      </c>
      <c r="J64" s="344">
        <f>'Stock debut annee'!J63+'Doses Recues'!J63</f>
        <v>9540</v>
      </c>
      <c r="K64" s="344">
        <f>'Stock debut annee'!K63+'Doses Recues'!K63</f>
        <v>18880</v>
      </c>
    </row>
    <row r="65" spans="1:11" x14ac:dyDescent="0.3">
      <c r="A65" s="344" t="s">
        <v>33</v>
      </c>
      <c r="B65" s="344">
        <f>'Stock debut annee'!B64+'Doses Recues'!B64</f>
        <v>11760</v>
      </c>
      <c r="C65" s="344">
        <f>'Stock debut annee'!C64+'Doses Recues'!C64</f>
        <v>27480</v>
      </c>
      <c r="D65" s="344">
        <f>'Stock debut annee'!D64+'Doses Recues'!D64</f>
        <v>20980</v>
      </c>
      <c r="E65" s="344">
        <f>'Stock debut annee'!E64+'Doses Recues'!E64</f>
        <v>17532</v>
      </c>
      <c r="F65" s="344">
        <f>'Stock debut annee'!F64+'Doses Recues'!F64</f>
        <v>12647</v>
      </c>
      <c r="G65" s="344">
        <f>'Stock debut annee'!G64+'Doses Recues'!G64</f>
        <v>6360</v>
      </c>
      <c r="H65" s="344">
        <f>'Stock debut annee'!H64+'Doses Recues'!H64</f>
        <v>11800</v>
      </c>
      <c r="I65" s="344">
        <f>'Stock debut annee'!I64+'Doses Recues'!I64</f>
        <v>8250</v>
      </c>
      <c r="J65" s="344">
        <f>'Stock debut annee'!J64+'Doses Recues'!J64</f>
        <v>6650</v>
      </c>
      <c r="K65" s="344">
        <f>'Stock debut annee'!K64+'Doses Recues'!K64</f>
        <v>11710</v>
      </c>
    </row>
    <row r="66" spans="1:11" x14ac:dyDescent="0.3">
      <c r="A66" s="346" t="s">
        <v>86</v>
      </c>
      <c r="B66" s="346">
        <f>'Stock debut annee'!B65+'Doses Recues'!B65</f>
        <v>331700</v>
      </c>
      <c r="C66" s="346">
        <f>'Stock debut annee'!C65+'Doses Recues'!C65</f>
        <v>826580</v>
      </c>
      <c r="D66" s="346">
        <f>'Stock debut annee'!D65+'Doses Recues'!D65</f>
        <v>854060</v>
      </c>
      <c r="E66" s="346">
        <f>'Stock debut annee'!E65+'Doses Recues'!E65</f>
        <v>650418</v>
      </c>
      <c r="F66" s="346">
        <f>'Stock debut annee'!F65+'Doses Recues'!F65</f>
        <v>447942</v>
      </c>
      <c r="G66" s="346">
        <f>'Stock debut annee'!G65+'Doses Recues'!G65</f>
        <v>212010</v>
      </c>
      <c r="H66" s="346">
        <f>'Stock debut annee'!H65+'Doses Recues'!H65</f>
        <v>409360</v>
      </c>
      <c r="I66" s="346">
        <f>'Stock debut annee'!I65+'Doses Recues'!I65</f>
        <v>138300</v>
      </c>
      <c r="J66" s="346">
        <f>'Stock debut annee'!J65+'Doses Recues'!J65</f>
        <v>217930</v>
      </c>
      <c r="K66" s="346">
        <f>'Stock debut annee'!K65+'Doses Recues'!K65</f>
        <v>406760</v>
      </c>
    </row>
    <row r="67" spans="1:11" x14ac:dyDescent="0.3">
      <c r="A67" s="344" t="s">
        <v>63</v>
      </c>
      <c r="B67" s="344">
        <f>'Stock debut annee'!B66+'Doses Recues'!B66</f>
        <v>9400</v>
      </c>
      <c r="C67" s="344">
        <f>'Stock debut annee'!C66+'Doses Recues'!C66</f>
        <v>20220</v>
      </c>
      <c r="D67" s="344">
        <f>'Stock debut annee'!D66+'Doses Recues'!D66</f>
        <v>16590</v>
      </c>
      <c r="E67" s="344">
        <f>'Stock debut annee'!E66+'Doses Recues'!E66</f>
        <v>14580</v>
      </c>
      <c r="F67" s="344">
        <f>'Stock debut annee'!F66+'Doses Recues'!F66</f>
        <v>6150</v>
      </c>
      <c r="G67" s="344">
        <f>'Stock debut annee'!G66+'Doses Recues'!G66</f>
        <v>8640</v>
      </c>
      <c r="H67" s="344">
        <f>'Stock debut annee'!H66+'Doses Recues'!H66</f>
        <v>8050</v>
      </c>
      <c r="I67" s="344">
        <f>'Stock debut annee'!I66+'Doses Recues'!I66</f>
        <v>4941</v>
      </c>
      <c r="J67" s="344">
        <f>'Stock debut annee'!J66+'Doses Recues'!J66</f>
        <v>4570</v>
      </c>
      <c r="K67" s="344">
        <f>'Stock debut annee'!K66+'Doses Recues'!K66</f>
        <v>8760</v>
      </c>
    </row>
    <row r="68" spans="1:11" x14ac:dyDescent="0.3">
      <c r="A68" s="344" t="s">
        <v>64</v>
      </c>
      <c r="B68" s="344">
        <f>'Stock debut annee'!B67+'Doses Recues'!B67</f>
        <v>21980</v>
      </c>
      <c r="C68" s="344">
        <f>'Stock debut annee'!C67+'Doses Recues'!C67</f>
        <v>49840</v>
      </c>
      <c r="D68" s="344">
        <f>'Stock debut annee'!D67+'Doses Recues'!D67</f>
        <v>38400</v>
      </c>
      <c r="E68" s="344">
        <f>'Stock debut annee'!E67+'Doses Recues'!E67</f>
        <v>40344</v>
      </c>
      <c r="F68" s="344">
        <f>'Stock debut annee'!F67+'Doses Recues'!F67</f>
        <v>24311</v>
      </c>
      <c r="G68" s="344">
        <f>'Stock debut annee'!G67+'Doses Recues'!G67</f>
        <v>13600</v>
      </c>
      <c r="H68" s="344">
        <f>'Stock debut annee'!H67+'Doses Recues'!H67</f>
        <v>28220</v>
      </c>
      <c r="I68" s="344">
        <f>'Stock debut annee'!I67+'Doses Recues'!I67</f>
        <v>13260</v>
      </c>
      <c r="J68" s="344">
        <f>'Stock debut annee'!J67+'Doses Recues'!J67</f>
        <v>14910</v>
      </c>
      <c r="K68" s="344">
        <f>'Stock debut annee'!K67+'Doses Recues'!K67</f>
        <v>28540</v>
      </c>
    </row>
    <row r="69" spans="1:11" x14ac:dyDescent="0.3">
      <c r="A69" s="344" t="s">
        <v>65</v>
      </c>
      <c r="B69" s="344">
        <f>'Stock debut annee'!B68+'Doses Recues'!B68</f>
        <v>26570</v>
      </c>
      <c r="C69" s="344">
        <f>'Stock debut annee'!C68+'Doses Recues'!C68</f>
        <v>70960</v>
      </c>
      <c r="D69" s="344">
        <f>'Stock debut annee'!D68+'Doses Recues'!D68</f>
        <v>56490</v>
      </c>
      <c r="E69" s="344">
        <f>'Stock debut annee'!E68+'Doses Recues'!E68</f>
        <v>59076</v>
      </c>
      <c r="F69" s="344">
        <f>'Stock debut annee'!F68+'Doses Recues'!F68</f>
        <v>33494</v>
      </c>
      <c r="G69" s="344">
        <f>'Stock debut annee'!G68+'Doses Recues'!G68</f>
        <v>18180</v>
      </c>
      <c r="H69" s="344">
        <f>'Stock debut annee'!H68+'Doses Recues'!H68</f>
        <v>39460</v>
      </c>
      <c r="I69" s="344">
        <f>'Stock debut annee'!I68+'Doses Recues'!I68</f>
        <v>15860</v>
      </c>
      <c r="J69" s="344">
        <f>'Stock debut annee'!J68+'Doses Recues'!J68</f>
        <v>19850</v>
      </c>
      <c r="K69" s="344">
        <f>'Stock debut annee'!K68+'Doses Recues'!K68</f>
        <v>33300</v>
      </c>
    </row>
    <row r="70" spans="1:11" x14ac:dyDescent="0.3">
      <c r="A70" s="345" t="s">
        <v>66</v>
      </c>
      <c r="B70" s="345">
        <f>'Stock debut annee'!B69+'Doses Recues'!B69</f>
        <v>23520</v>
      </c>
      <c r="C70" s="345">
        <f>'Stock debut annee'!C69+'Doses Recues'!C69</f>
        <v>57140</v>
      </c>
      <c r="D70" s="345">
        <f>'Stock debut annee'!D69+'Doses Recues'!D69</f>
        <v>49580</v>
      </c>
      <c r="E70" s="345">
        <f>'Stock debut annee'!E69+'Doses Recues'!E69</f>
        <v>51382</v>
      </c>
      <c r="F70" s="345">
        <f>'Stock debut annee'!F69+'Doses Recues'!F69</f>
        <v>26880</v>
      </c>
      <c r="G70" s="345">
        <f>'Stock debut annee'!G69+'Doses Recues'!G69</f>
        <v>14650</v>
      </c>
      <c r="H70" s="345">
        <f>'Stock debut annee'!H69+'Doses Recues'!H69</f>
        <v>29810</v>
      </c>
      <c r="I70" s="345">
        <f>'Stock debut annee'!I69+'Doses Recues'!I69</f>
        <v>14010</v>
      </c>
      <c r="J70" s="345">
        <f>'Stock debut annee'!J69+'Doses Recues'!J69</f>
        <v>16090</v>
      </c>
      <c r="K70" s="345">
        <f>'Stock debut annee'!K69+'Doses Recues'!K69</f>
        <v>33300</v>
      </c>
    </row>
    <row r="71" spans="1:11" x14ac:dyDescent="0.3">
      <c r="A71" s="345" t="s">
        <v>67</v>
      </c>
      <c r="B71" s="345">
        <f>'Stock debut annee'!B70+'Doses Recues'!B70</f>
        <v>47920</v>
      </c>
      <c r="C71" s="345">
        <f>'Stock debut annee'!C70+'Doses Recues'!C70</f>
        <v>107320</v>
      </c>
      <c r="D71" s="345">
        <f>'Stock debut annee'!D70+'Doses Recues'!D70</f>
        <v>87790</v>
      </c>
      <c r="E71" s="345">
        <f>'Stock debut annee'!E70+'Doses Recues'!E70</f>
        <v>79626</v>
      </c>
      <c r="F71" s="345">
        <f>'Stock debut annee'!F70+'Doses Recues'!F70</f>
        <v>46435</v>
      </c>
      <c r="G71" s="345">
        <f>'Stock debut annee'!G70+'Doses Recues'!G70</f>
        <v>26275</v>
      </c>
      <c r="H71" s="345">
        <f>'Stock debut annee'!H70+'Doses Recues'!H70</f>
        <v>56840</v>
      </c>
      <c r="I71" s="345">
        <f>'Stock debut annee'!I70+'Doses Recues'!I70</f>
        <v>22930</v>
      </c>
      <c r="J71" s="345">
        <f>'Stock debut annee'!J70+'Doses Recues'!J70</f>
        <v>30860</v>
      </c>
      <c r="K71" s="345">
        <f>'Stock debut annee'!K70+'Doses Recues'!K70</f>
        <v>59160</v>
      </c>
    </row>
    <row r="72" spans="1:11" x14ac:dyDescent="0.3">
      <c r="A72" s="345" t="s">
        <v>68</v>
      </c>
      <c r="B72" s="345">
        <f>'Stock debut annee'!B71+'Doses Recues'!B71</f>
        <v>31320</v>
      </c>
      <c r="C72" s="345">
        <f>'Stock debut annee'!C71+'Doses Recues'!C71</f>
        <v>81380</v>
      </c>
      <c r="D72" s="345">
        <f>'Stock debut annee'!D71+'Doses Recues'!D71</f>
        <v>63260</v>
      </c>
      <c r="E72" s="345">
        <f>'Stock debut annee'!E71+'Doses Recues'!E71</f>
        <v>63776</v>
      </c>
      <c r="F72" s="345">
        <f>'Stock debut annee'!F71+'Doses Recues'!F71</f>
        <v>39058</v>
      </c>
      <c r="G72" s="345">
        <f>'Stock debut annee'!G71+'Doses Recues'!G71</f>
        <v>17990</v>
      </c>
      <c r="H72" s="345">
        <f>'Stock debut annee'!H71+'Doses Recues'!H71</f>
        <v>44320</v>
      </c>
      <c r="I72" s="345">
        <f>'Stock debut annee'!I71+'Doses Recues'!I71</f>
        <v>20700</v>
      </c>
      <c r="J72" s="345">
        <f>'Stock debut annee'!J71+'Doses Recues'!J71</f>
        <v>23670</v>
      </c>
      <c r="K72" s="345">
        <f>'Stock debut annee'!K71+'Doses Recues'!K71</f>
        <v>32910</v>
      </c>
    </row>
    <row r="73" spans="1:11" x14ac:dyDescent="0.3">
      <c r="A73" s="345" t="s">
        <v>69</v>
      </c>
      <c r="B73" s="345">
        <f>'Stock debut annee'!B72+'Doses Recues'!B72</f>
        <v>38600</v>
      </c>
      <c r="C73" s="345">
        <f>'Stock debut annee'!C72+'Doses Recues'!C72</f>
        <v>89780</v>
      </c>
      <c r="D73" s="345">
        <f>'Stock debut annee'!D72+'Doses Recues'!D72</f>
        <v>72780</v>
      </c>
      <c r="E73" s="345">
        <f>'Stock debut annee'!E72+'Doses Recues'!E72</f>
        <v>72216</v>
      </c>
      <c r="F73" s="345">
        <f>'Stock debut annee'!F72+'Doses Recues'!F72</f>
        <v>125576</v>
      </c>
      <c r="G73" s="345">
        <f>'Stock debut annee'!G72+'Doses Recues'!G72</f>
        <v>28365</v>
      </c>
      <c r="H73" s="345">
        <f>'Stock debut annee'!H72+'Doses Recues'!H72</f>
        <v>47510</v>
      </c>
      <c r="I73" s="345">
        <f>'Stock debut annee'!I72+'Doses Recues'!I72</f>
        <v>22800</v>
      </c>
      <c r="J73" s="345">
        <f>'Stock debut annee'!J72+'Doses Recues'!J72</f>
        <v>26750</v>
      </c>
      <c r="K73" s="345">
        <f>'Stock debut annee'!K72+'Doses Recues'!K72</f>
        <v>42530</v>
      </c>
    </row>
    <row r="74" spans="1:11" x14ac:dyDescent="0.3">
      <c r="A74" s="345" t="s">
        <v>70</v>
      </c>
      <c r="B74" s="345">
        <f>'Stock debut annee'!B73+'Doses Recues'!B73</f>
        <v>24440</v>
      </c>
      <c r="C74" s="345">
        <f>'Stock debut annee'!C73+'Doses Recues'!C73</f>
        <v>56150</v>
      </c>
      <c r="D74" s="345">
        <f>'Stock debut annee'!D73+'Doses Recues'!D73</f>
        <v>45970</v>
      </c>
      <c r="E74" s="345">
        <f>'Stock debut annee'!E73+'Doses Recues'!E73</f>
        <v>44940</v>
      </c>
      <c r="F74" s="345">
        <f>'Stock debut annee'!F73+'Doses Recues'!F73</f>
        <v>29539</v>
      </c>
      <c r="G74" s="345">
        <f>'Stock debut annee'!G73+'Doses Recues'!G73</f>
        <v>14780</v>
      </c>
      <c r="H74" s="345">
        <f>'Stock debut annee'!H73+'Doses Recues'!H73</f>
        <v>30270</v>
      </c>
      <c r="I74" s="345">
        <f>'Stock debut annee'!I73+'Doses Recues'!I73</f>
        <v>15690</v>
      </c>
      <c r="J74" s="345">
        <f>'Stock debut annee'!J73+'Doses Recues'!J73</f>
        <v>17470</v>
      </c>
      <c r="K74" s="345">
        <f>'Stock debut annee'!K73+'Doses Recues'!K73</f>
        <v>29910</v>
      </c>
    </row>
    <row r="75" spans="1:11" x14ac:dyDescent="0.3">
      <c r="A75" s="345" t="s">
        <v>71</v>
      </c>
      <c r="B75" s="345">
        <f>'Stock debut annee'!B74+'Doses Recues'!B74</f>
        <v>33910</v>
      </c>
      <c r="C75" s="345">
        <f>'Stock debut annee'!C74+'Doses Recues'!C74</f>
        <v>80590</v>
      </c>
      <c r="D75" s="345">
        <f>'Stock debut annee'!D74+'Doses Recues'!D74</f>
        <v>64010</v>
      </c>
      <c r="E75" s="345">
        <f>'Stock debut annee'!E74+'Doses Recues'!E74</f>
        <v>60170</v>
      </c>
      <c r="F75" s="345">
        <f>'Stock debut annee'!F74+'Doses Recues'!F74</f>
        <v>39654</v>
      </c>
      <c r="G75" s="345">
        <f>'Stock debut annee'!G74+'Doses Recues'!G74</f>
        <v>21080</v>
      </c>
      <c r="H75" s="345">
        <f>'Stock debut annee'!H74+'Doses Recues'!H74</f>
        <v>34520</v>
      </c>
      <c r="I75" s="345">
        <f>'Stock debut annee'!I74+'Doses Recues'!I74</f>
        <v>17340</v>
      </c>
      <c r="J75" s="345">
        <f>'Stock debut annee'!J74+'Doses Recues'!J74</f>
        <v>25180</v>
      </c>
      <c r="K75" s="345">
        <f>'Stock debut annee'!K74+'Doses Recues'!K74</f>
        <v>39680</v>
      </c>
    </row>
    <row r="76" spans="1:11" x14ac:dyDescent="0.3">
      <c r="A76" s="345" t="s">
        <v>72</v>
      </c>
      <c r="B76" s="345">
        <f>'Stock debut annee'!B75+'Doses Recues'!B75</f>
        <v>3960</v>
      </c>
      <c r="C76" s="345">
        <f>'Stock debut annee'!C75+'Doses Recues'!C75</f>
        <v>9600</v>
      </c>
      <c r="D76" s="345">
        <f>'Stock debut annee'!D75+'Doses Recues'!D75</f>
        <v>7260</v>
      </c>
      <c r="E76" s="345">
        <f>'Stock debut annee'!E75+'Doses Recues'!E75</f>
        <v>7164</v>
      </c>
      <c r="F76" s="345">
        <f>'Stock debut annee'!F75+'Doses Recues'!F75</f>
        <v>3641</v>
      </c>
      <c r="G76" s="345">
        <f>'Stock debut annee'!G75+'Doses Recues'!G75</f>
        <v>2190</v>
      </c>
      <c r="H76" s="345">
        <f>'Stock debut annee'!H75+'Doses Recues'!H75</f>
        <v>4110</v>
      </c>
      <c r="I76" s="345">
        <f>'Stock debut annee'!I75+'Doses Recues'!I75</f>
        <v>2540</v>
      </c>
      <c r="J76" s="345">
        <f>'Stock debut annee'!J75+'Doses Recues'!J75</f>
        <v>3470</v>
      </c>
      <c r="K76" s="345">
        <f>'Stock debut annee'!K75+'Doses Recues'!K75</f>
        <v>3550</v>
      </c>
    </row>
    <row r="77" spans="1:11" x14ac:dyDescent="0.3">
      <c r="A77" s="345" t="s">
        <v>73</v>
      </c>
      <c r="B77" s="345">
        <f>'Stock debut annee'!B76+'Doses Recues'!B76</f>
        <v>27420</v>
      </c>
      <c r="C77" s="345">
        <f>'Stock debut annee'!C76+'Doses Recues'!C76</f>
        <v>63830</v>
      </c>
      <c r="D77" s="345">
        <f>'Stock debut annee'!D76+'Doses Recues'!D76</f>
        <v>52130</v>
      </c>
      <c r="E77" s="345">
        <f>'Stock debut annee'!E76+'Doses Recues'!E76</f>
        <v>47568</v>
      </c>
      <c r="F77" s="345">
        <f>'Stock debut annee'!F76+'Doses Recues'!F76</f>
        <v>30543</v>
      </c>
      <c r="G77" s="345">
        <f>'Stock debut annee'!G76+'Doses Recues'!G76</f>
        <v>15230</v>
      </c>
      <c r="H77" s="345">
        <f>'Stock debut annee'!H76+'Doses Recues'!H76</f>
        <v>30400</v>
      </c>
      <c r="I77" s="345">
        <f>'Stock debut annee'!I76+'Doses Recues'!I76</f>
        <v>14550</v>
      </c>
      <c r="J77" s="345">
        <f>'Stock debut annee'!J76+'Doses Recues'!J76</f>
        <v>17400</v>
      </c>
      <c r="K77" s="345">
        <f>'Stock debut annee'!K76+'Doses Recues'!K76</f>
        <v>31670</v>
      </c>
    </row>
    <row r="78" spans="1:11" x14ac:dyDescent="0.3">
      <c r="A78" s="346" t="s">
        <v>90</v>
      </c>
      <c r="B78" s="346">
        <f>'Stock debut annee'!B77+'Doses Recues'!B77</f>
        <v>58800</v>
      </c>
      <c r="C78" s="346">
        <f>'Stock debut annee'!C77+'Doses Recues'!C77</f>
        <v>188320</v>
      </c>
      <c r="D78" s="346">
        <f>'Stock debut annee'!D77+'Doses Recues'!D77</f>
        <v>133800</v>
      </c>
      <c r="E78" s="346">
        <f>'Stock debut annee'!E77+'Doses Recues'!E77</f>
        <v>123800</v>
      </c>
      <c r="F78" s="346">
        <f>'Stock debut annee'!F77+'Doses Recues'!F77</f>
        <v>83750</v>
      </c>
      <c r="G78" s="346">
        <f>'Stock debut annee'!G77+'Doses Recues'!G77</f>
        <v>43500</v>
      </c>
      <c r="H78" s="346">
        <f>'Stock debut annee'!H77+'Doses Recues'!H77</f>
        <v>60100</v>
      </c>
      <c r="I78" s="346">
        <f>'Stock debut annee'!I77+'Doses Recues'!I77</f>
        <v>58000</v>
      </c>
      <c r="J78" s="346">
        <f>'Stock debut annee'!J77+'Doses Recues'!J77</f>
        <v>47700</v>
      </c>
      <c r="K78" s="346">
        <f>'Stock debut annee'!K77+'Doses Recues'!K77</f>
        <v>52800</v>
      </c>
    </row>
    <row r="79" spans="1:11" x14ac:dyDescent="0.3">
      <c r="A79" s="344" t="s">
        <v>74</v>
      </c>
      <c r="B79" s="344">
        <f>'Stock debut annee'!B78+'Doses Recues'!B78</f>
        <v>9800</v>
      </c>
      <c r="C79" s="344">
        <f>'Stock debut annee'!C78+'Doses Recues'!C78</f>
        <v>31540</v>
      </c>
      <c r="D79" s="344">
        <f>'Stock debut annee'!D78+'Doses Recues'!D78</f>
        <v>21450</v>
      </c>
      <c r="E79" s="344">
        <f>'Stock debut annee'!E78+'Doses Recues'!E78</f>
        <v>18796</v>
      </c>
      <c r="F79" s="344">
        <f>'Stock debut annee'!F78+'Doses Recues'!F78</f>
        <v>13694</v>
      </c>
      <c r="G79" s="344">
        <f>'Stock debut annee'!G78+'Doses Recues'!G78</f>
        <v>7290</v>
      </c>
      <c r="H79" s="344">
        <f>'Stock debut annee'!H78+'Doses Recues'!H78</f>
        <v>11520</v>
      </c>
      <c r="I79" s="344">
        <f>'Stock debut annee'!I78+'Doses Recues'!I78</f>
        <v>8190</v>
      </c>
      <c r="J79" s="344">
        <f>'Stock debut annee'!J78+'Doses Recues'!J78</f>
        <v>6810</v>
      </c>
      <c r="K79" s="344">
        <f>'Stock debut annee'!K78+'Doses Recues'!K78</f>
        <v>10880</v>
      </c>
    </row>
    <row r="80" spans="1:11" x14ac:dyDescent="0.3">
      <c r="A80" s="344" t="s">
        <v>75</v>
      </c>
      <c r="B80" s="344">
        <f>'Stock debut annee'!B79+'Doses Recues'!B79</f>
        <v>10960</v>
      </c>
      <c r="C80" s="344">
        <f>'Stock debut annee'!C79+'Doses Recues'!C79</f>
        <v>34520</v>
      </c>
      <c r="D80" s="344">
        <f>'Stock debut annee'!D79+'Doses Recues'!D79</f>
        <v>25360</v>
      </c>
      <c r="E80" s="344">
        <f>'Stock debut annee'!E79+'Doses Recues'!E79</f>
        <v>23236</v>
      </c>
      <c r="F80" s="344">
        <f>'Stock debut annee'!F79+'Doses Recues'!F79</f>
        <v>16462</v>
      </c>
      <c r="G80" s="344">
        <f>'Stock debut annee'!G79+'Doses Recues'!G79</f>
        <v>8450</v>
      </c>
      <c r="H80" s="344">
        <f>'Stock debut annee'!H79+'Doses Recues'!H79</f>
        <v>11780</v>
      </c>
      <c r="I80" s="344">
        <f>'Stock debut annee'!I79+'Doses Recues'!I79</f>
        <v>9050</v>
      </c>
      <c r="J80" s="344">
        <f>'Stock debut annee'!J79+'Doses Recues'!J79</f>
        <v>7970</v>
      </c>
      <c r="K80" s="344">
        <f>'Stock debut annee'!K79+'Doses Recues'!K79</f>
        <v>11820</v>
      </c>
    </row>
    <row r="81" spans="1:11" x14ac:dyDescent="0.3">
      <c r="A81" s="344" t="s">
        <v>76</v>
      </c>
      <c r="B81" s="344">
        <f>'Stock debut annee'!B80+'Doses Recues'!B80</f>
        <v>9660</v>
      </c>
      <c r="C81" s="344">
        <f>'Stock debut annee'!C80+'Doses Recues'!C80</f>
        <v>25740</v>
      </c>
      <c r="D81" s="344">
        <f>'Stock debut annee'!D80+'Doses Recues'!D80</f>
        <v>15160</v>
      </c>
      <c r="E81" s="344">
        <f>'Stock debut annee'!E80+'Doses Recues'!E80</f>
        <v>14500</v>
      </c>
      <c r="F81" s="344">
        <f>'Stock debut annee'!F80+'Doses Recues'!F80</f>
        <v>9660</v>
      </c>
      <c r="G81" s="344">
        <f>'Stock debut annee'!G80+'Doses Recues'!G80</f>
        <v>5320</v>
      </c>
      <c r="H81" s="344">
        <f>'Stock debut annee'!H80+'Doses Recues'!H80</f>
        <v>9670</v>
      </c>
      <c r="I81" s="344">
        <f>'Stock debut annee'!I80+'Doses Recues'!I80</f>
        <v>6620</v>
      </c>
      <c r="J81" s="344">
        <f>'Stock debut annee'!J80+'Doses Recues'!J80</f>
        <v>5650</v>
      </c>
      <c r="K81" s="344">
        <f>'Stock debut annee'!K80+'Doses Recues'!K80</f>
        <v>8200</v>
      </c>
    </row>
    <row r="82" spans="1:11" x14ac:dyDescent="0.3">
      <c r="A82" s="344" t="s">
        <v>77</v>
      </c>
      <c r="B82" s="344">
        <f>'Stock debut annee'!B81+'Doses Recues'!B81</f>
        <v>11700</v>
      </c>
      <c r="C82" s="344">
        <f>'Stock debut annee'!C81+'Doses Recues'!C81</f>
        <v>40600</v>
      </c>
      <c r="D82" s="344">
        <f>'Stock debut annee'!D81+'Doses Recues'!D81</f>
        <v>29820</v>
      </c>
      <c r="E82" s="344">
        <f>'Stock debut annee'!E81+'Doses Recues'!E81</f>
        <v>28672</v>
      </c>
      <c r="F82" s="344">
        <f>'Stock debut annee'!F81+'Doses Recues'!F81</f>
        <v>18850</v>
      </c>
      <c r="G82" s="344">
        <f>'Stock debut annee'!G81+'Doses Recues'!G81</f>
        <v>8410</v>
      </c>
      <c r="H82" s="344">
        <f>'Stock debut annee'!H81+'Doses Recues'!H81</f>
        <v>11150</v>
      </c>
      <c r="I82" s="344">
        <f>'Stock debut annee'!I81+'Doses Recues'!I81</f>
        <v>9370</v>
      </c>
      <c r="J82" s="344">
        <f>'Stock debut annee'!J81+'Doses Recues'!J81</f>
        <v>8100</v>
      </c>
      <c r="K82" s="344">
        <f>'Stock debut annee'!K81+'Doses Recues'!K81</f>
        <v>10280</v>
      </c>
    </row>
    <row r="83" spans="1:11" x14ac:dyDescent="0.3">
      <c r="A83" s="344" t="s">
        <v>78</v>
      </c>
      <c r="B83" s="344">
        <f>'Stock debut annee'!B82+'Doses Recues'!B82</f>
        <v>5060</v>
      </c>
      <c r="C83" s="344">
        <f>'Stock debut annee'!C82+'Doses Recues'!C82</f>
        <v>19620</v>
      </c>
      <c r="D83" s="344">
        <f>'Stock debut annee'!D82+'Doses Recues'!D82</f>
        <v>13540</v>
      </c>
      <c r="E83" s="344">
        <f>'Stock debut annee'!E82+'Doses Recues'!E82</f>
        <v>13156</v>
      </c>
      <c r="F83" s="344">
        <f>'Stock debut annee'!F82+'Doses Recues'!F82</f>
        <v>8474</v>
      </c>
      <c r="G83" s="344">
        <f>'Stock debut annee'!G82+'Doses Recues'!G82</f>
        <v>4530</v>
      </c>
      <c r="H83" s="344">
        <f>'Stock debut annee'!H82+'Doses Recues'!H82</f>
        <v>7980</v>
      </c>
      <c r="I83" s="344">
        <f>'Stock debut annee'!I82+'Doses Recues'!I82</f>
        <v>4760</v>
      </c>
      <c r="J83" s="344">
        <f>'Stock debut annee'!J82+'Doses Recues'!J82</f>
        <v>4280</v>
      </c>
      <c r="K83" s="344">
        <f>'Stock debut annee'!K82+'Doses Recues'!K82</f>
        <v>6500</v>
      </c>
    </row>
    <row r="84" spans="1:11" x14ac:dyDescent="0.3">
      <c r="B84" s="342"/>
      <c r="C84" s="335"/>
      <c r="D84" s="335"/>
      <c r="E84" s="335"/>
      <c r="F84" s="335"/>
      <c r="G84" s="335"/>
      <c r="H84" s="335"/>
      <c r="I84" s="335"/>
      <c r="J84" s="335"/>
      <c r="K84" s="33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ColWidth="9.109375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87"/>
  <sheetViews>
    <sheetView zoomScale="92" zoomScaleNormal="92" workbookViewId="0">
      <pane xSplit="1" ySplit="5" topLeftCell="AD6" activePane="bottomRight" state="frozen"/>
      <selection pane="topRight" activeCell="B1" sqref="B1"/>
      <selection pane="bottomLeft" activeCell="A6" sqref="A6"/>
      <selection pane="bottomRight" activeCell="I13" sqref="I13"/>
    </sheetView>
  </sheetViews>
  <sheetFormatPr defaultColWidth="11.5546875" defaultRowHeight="14.4" x14ac:dyDescent="0.3"/>
  <cols>
    <col min="1" max="1" width="19.5546875" style="24" bestFit="1" customWidth="1"/>
    <col min="2" max="2" width="13.5546875" style="24" customWidth="1"/>
    <col min="3" max="3" width="16.5546875" style="24" customWidth="1"/>
    <col min="4" max="4" width="11.109375" style="24" customWidth="1"/>
    <col min="5" max="5" width="12.33203125" style="24" customWidth="1"/>
    <col min="6" max="7" width="12.5546875" style="24" customWidth="1"/>
    <col min="8" max="8" width="14.109375" style="24" customWidth="1"/>
    <col min="9" max="9" width="12.5546875" style="24" customWidth="1"/>
    <col min="10" max="10" width="13.88671875" style="24" customWidth="1"/>
    <col min="11" max="11" width="16" style="24" customWidth="1"/>
    <col min="12" max="12" width="9.88671875" style="24" customWidth="1"/>
    <col min="13" max="13" width="11.6640625" style="24" customWidth="1"/>
    <col min="14" max="14" width="8.44140625" style="24" customWidth="1"/>
    <col min="15" max="15" width="11.88671875" style="24" customWidth="1"/>
    <col min="16" max="16" width="10.33203125" style="24" customWidth="1"/>
    <col min="17" max="17" width="8.44140625" style="24" customWidth="1"/>
    <col min="18" max="18" width="13.44140625" style="24" customWidth="1"/>
    <col min="19" max="19" width="10.44140625" style="24" customWidth="1"/>
    <col min="20" max="20" width="7.44140625" style="24" customWidth="1"/>
    <col min="21" max="21" width="13.44140625" style="24" customWidth="1"/>
    <col min="22" max="22" width="9.5546875" style="24" customWidth="1"/>
    <col min="23" max="23" width="8.44140625" style="24" customWidth="1"/>
    <col min="24" max="24" width="12.6640625" style="24" customWidth="1"/>
    <col min="25" max="25" width="9.5546875" style="24" customWidth="1"/>
    <col min="26" max="26" width="9.44140625" style="24" customWidth="1"/>
    <col min="27" max="27" width="10" style="24" customWidth="1"/>
    <col min="28" max="28" width="9.6640625" style="24" customWidth="1"/>
    <col min="29" max="29" width="10.6640625" style="24" customWidth="1"/>
    <col min="30" max="30" width="12.33203125" style="24" customWidth="1"/>
    <col min="31" max="31" width="10" style="24" customWidth="1"/>
    <col min="32" max="32" width="10.33203125" style="24" customWidth="1"/>
    <col min="33" max="33" width="14" style="24" customWidth="1"/>
    <col min="34" max="43" width="11.6640625" style="24" customWidth="1"/>
    <col min="44" max="53" width="15.109375" style="24" customWidth="1"/>
    <col min="54" max="16384" width="11.5546875" style="24"/>
  </cols>
  <sheetData>
    <row r="1" spans="1:53" ht="18" x14ac:dyDescent="0.35">
      <c r="A1" s="414" t="s">
        <v>0</v>
      </c>
      <c r="B1" s="414"/>
      <c r="C1" s="414"/>
      <c r="D1" s="414"/>
      <c r="E1" s="414"/>
      <c r="F1" s="414"/>
      <c r="G1" s="414"/>
      <c r="H1" s="414"/>
      <c r="I1" s="414"/>
      <c r="J1" s="414"/>
      <c r="K1" s="414"/>
      <c r="L1" s="414"/>
      <c r="M1" s="414"/>
      <c r="N1" s="414"/>
      <c r="O1" s="414"/>
      <c r="P1" s="414"/>
      <c r="Q1" s="414"/>
      <c r="R1" s="414"/>
      <c r="S1" s="414"/>
      <c r="T1" s="414"/>
      <c r="U1" s="414"/>
      <c r="V1" s="414"/>
      <c r="W1" s="414"/>
      <c r="X1" s="414"/>
      <c r="Y1" s="414"/>
      <c r="Z1" s="414"/>
      <c r="AA1" s="414"/>
      <c r="AB1" s="414"/>
      <c r="AC1" s="414"/>
      <c r="AD1" s="414"/>
      <c r="AE1" s="414"/>
      <c r="AF1" s="414"/>
      <c r="AG1" s="83"/>
    </row>
    <row r="2" spans="1:53" ht="18" x14ac:dyDescent="0.35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9"/>
      <c r="AG2" s="9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0"/>
    </row>
    <row r="3" spans="1:53" ht="16.2" thickBot="1" x14ac:dyDescent="0.35">
      <c r="D3" s="413" t="s">
        <v>98</v>
      </c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  <c r="R3" s="413"/>
      <c r="S3" s="413"/>
      <c r="T3" s="413"/>
      <c r="U3" s="413"/>
      <c r="V3" s="413"/>
      <c r="W3" s="413"/>
      <c r="X3" s="413"/>
      <c r="Y3" s="413"/>
      <c r="Z3" s="413"/>
      <c r="AA3" s="413"/>
      <c r="AB3" s="413"/>
      <c r="AC3" s="413"/>
      <c r="AD3" s="413"/>
      <c r="AE3" s="413"/>
      <c r="AF3" s="413"/>
      <c r="AG3" s="84"/>
      <c r="AH3" s="449" t="s">
        <v>12</v>
      </c>
      <c r="AI3" s="449"/>
      <c r="AJ3" s="449"/>
      <c r="AK3" s="449"/>
      <c r="AL3" s="449"/>
      <c r="AM3" s="449"/>
      <c r="AN3" s="449"/>
      <c r="AO3" s="449"/>
      <c r="AP3" s="449"/>
      <c r="AQ3" s="449"/>
      <c r="AR3" s="417" t="s">
        <v>13</v>
      </c>
      <c r="AS3" s="417"/>
      <c r="AT3" s="417"/>
      <c r="AU3" s="417"/>
      <c r="AV3" s="417"/>
      <c r="AW3" s="417"/>
      <c r="AX3" s="417"/>
      <c r="AY3" s="417"/>
      <c r="AZ3" s="417"/>
      <c r="BA3" s="417"/>
    </row>
    <row r="4" spans="1:53" ht="16.2" thickBot="1" x14ac:dyDescent="0.35">
      <c r="A4" s="450" t="s">
        <v>1</v>
      </c>
      <c r="B4" s="452" t="s">
        <v>92</v>
      </c>
      <c r="C4" s="453"/>
      <c r="D4" s="420" t="s">
        <v>2</v>
      </c>
      <c r="E4" s="420"/>
      <c r="F4" s="421"/>
      <c r="G4" s="422" t="s">
        <v>3</v>
      </c>
      <c r="H4" s="423"/>
      <c r="I4" s="424"/>
      <c r="J4" s="425" t="s">
        <v>4</v>
      </c>
      <c r="K4" s="426"/>
      <c r="L4" s="427"/>
      <c r="M4" s="446" t="s">
        <v>5</v>
      </c>
      <c r="N4" s="447"/>
      <c r="O4" s="448"/>
      <c r="P4" s="428" t="s">
        <v>6</v>
      </c>
      <c r="Q4" s="429"/>
      <c r="R4" s="430"/>
      <c r="S4" s="431" t="s">
        <v>7</v>
      </c>
      <c r="T4" s="432"/>
      <c r="U4" s="433"/>
      <c r="V4" s="434" t="s">
        <v>8</v>
      </c>
      <c r="W4" s="435"/>
      <c r="X4" s="436"/>
      <c r="Y4" s="437" t="s">
        <v>9</v>
      </c>
      <c r="Z4" s="438"/>
      <c r="AA4" s="439"/>
      <c r="AB4" s="440" t="s">
        <v>10</v>
      </c>
      <c r="AC4" s="441"/>
      <c r="AD4" s="442"/>
      <c r="AE4" s="443" t="s">
        <v>11</v>
      </c>
      <c r="AF4" s="444"/>
      <c r="AG4" s="444"/>
      <c r="AH4" s="206" t="s">
        <v>2</v>
      </c>
      <c r="AI4" s="206" t="s">
        <v>3</v>
      </c>
      <c r="AJ4" s="206" t="s">
        <v>4</v>
      </c>
      <c r="AK4" s="206" t="s">
        <v>5</v>
      </c>
      <c r="AL4" s="206" t="s">
        <v>6</v>
      </c>
      <c r="AM4" s="206" t="s">
        <v>7</v>
      </c>
      <c r="AN4" s="206" t="s">
        <v>8</v>
      </c>
      <c r="AO4" s="206" t="s">
        <v>9</v>
      </c>
      <c r="AP4" s="206" t="s">
        <v>10</v>
      </c>
      <c r="AQ4" s="206" t="s">
        <v>11</v>
      </c>
      <c r="AR4" s="186" t="s">
        <v>2</v>
      </c>
      <c r="AS4" s="4" t="s">
        <v>3</v>
      </c>
      <c r="AT4" s="4" t="s">
        <v>4</v>
      </c>
      <c r="AU4" s="4" t="s">
        <v>5</v>
      </c>
      <c r="AV4" s="4" t="s">
        <v>6</v>
      </c>
      <c r="AW4" s="4" t="s">
        <v>7</v>
      </c>
      <c r="AX4" s="4" t="s">
        <v>8</v>
      </c>
      <c r="AY4" s="4" t="s">
        <v>9</v>
      </c>
      <c r="AZ4" s="4" t="s">
        <v>10</v>
      </c>
      <c r="BA4" s="85" t="s">
        <v>11</v>
      </c>
    </row>
    <row r="5" spans="1:53" ht="15.75" customHeight="1" thickBot="1" x14ac:dyDescent="0.35">
      <c r="A5" s="451"/>
      <c r="B5" s="135" t="s">
        <v>93</v>
      </c>
      <c r="C5" s="136" t="s">
        <v>94</v>
      </c>
      <c r="D5" s="39" t="s">
        <v>95</v>
      </c>
      <c r="E5" s="40" t="s">
        <v>96</v>
      </c>
      <c r="F5" s="41" t="s">
        <v>97</v>
      </c>
      <c r="G5" s="42" t="s">
        <v>95</v>
      </c>
      <c r="H5" s="40" t="s">
        <v>96</v>
      </c>
      <c r="I5" s="43" t="s">
        <v>97</v>
      </c>
      <c r="J5" s="137" t="s">
        <v>95</v>
      </c>
      <c r="K5" s="138" t="s">
        <v>96</v>
      </c>
      <c r="L5" s="139" t="s">
        <v>97</v>
      </c>
      <c r="M5" s="39" t="s">
        <v>95</v>
      </c>
      <c r="N5" s="40" t="s">
        <v>96</v>
      </c>
      <c r="O5" s="41" t="s">
        <v>97</v>
      </c>
      <c r="P5" s="42" t="s">
        <v>95</v>
      </c>
      <c r="Q5" s="40" t="s">
        <v>96</v>
      </c>
      <c r="R5" s="41" t="s">
        <v>97</v>
      </c>
      <c r="S5" s="42" t="s">
        <v>95</v>
      </c>
      <c r="T5" s="40" t="s">
        <v>96</v>
      </c>
      <c r="U5" s="41" t="s">
        <v>97</v>
      </c>
      <c r="V5" s="42" t="s">
        <v>95</v>
      </c>
      <c r="W5" s="40" t="s">
        <v>96</v>
      </c>
      <c r="X5" s="41" t="s">
        <v>97</v>
      </c>
      <c r="Y5" s="42" t="s">
        <v>95</v>
      </c>
      <c r="Z5" s="40" t="s">
        <v>96</v>
      </c>
      <c r="AA5" s="41" t="s">
        <v>97</v>
      </c>
      <c r="AB5" s="42" t="s">
        <v>95</v>
      </c>
      <c r="AC5" s="40" t="s">
        <v>96</v>
      </c>
      <c r="AD5" s="41" t="s">
        <v>97</v>
      </c>
      <c r="AE5" s="42" t="s">
        <v>95</v>
      </c>
      <c r="AF5" s="40" t="s">
        <v>96</v>
      </c>
      <c r="AG5" s="191" t="s">
        <v>97</v>
      </c>
      <c r="AH5" s="229">
        <v>0.9</v>
      </c>
      <c r="AI5" s="229">
        <v>0.9</v>
      </c>
      <c r="AJ5" s="229">
        <v>0.9</v>
      </c>
      <c r="AK5" s="229">
        <v>0.9</v>
      </c>
      <c r="AL5" s="229">
        <v>0.9</v>
      </c>
      <c r="AM5" s="229">
        <v>0.9</v>
      </c>
      <c r="AN5" s="229">
        <v>0.9</v>
      </c>
      <c r="AO5" s="229">
        <v>0.9</v>
      </c>
      <c r="AP5" s="229">
        <v>0.9</v>
      </c>
      <c r="AQ5" s="230">
        <v>0.9</v>
      </c>
      <c r="AR5" s="12"/>
      <c r="AS5" s="12"/>
      <c r="AT5" s="12"/>
      <c r="AU5" s="12"/>
      <c r="AV5" s="12"/>
      <c r="AW5" s="12"/>
      <c r="AX5" s="12"/>
      <c r="AY5" s="12"/>
      <c r="AZ5" s="12"/>
      <c r="BA5" s="13"/>
    </row>
    <row r="6" spans="1:53" ht="15" thickBot="1" x14ac:dyDescent="0.35">
      <c r="A6" s="140" t="s">
        <v>87</v>
      </c>
      <c r="B6" s="141">
        <v>43862</v>
      </c>
      <c r="C6" s="141">
        <v>43901</v>
      </c>
      <c r="D6" s="142">
        <v>6000</v>
      </c>
      <c r="E6" s="142">
        <v>4320</v>
      </c>
      <c r="F6" s="142">
        <v>0</v>
      </c>
      <c r="G6" s="142">
        <v>27000</v>
      </c>
      <c r="H6" s="142">
        <v>34100</v>
      </c>
      <c r="I6" s="142">
        <v>0</v>
      </c>
      <c r="J6" s="142">
        <v>14400</v>
      </c>
      <c r="K6" s="142">
        <v>14990</v>
      </c>
      <c r="L6" s="142">
        <v>0</v>
      </c>
      <c r="M6" s="142">
        <v>21600</v>
      </c>
      <c r="N6" s="142">
        <v>20896</v>
      </c>
      <c r="O6" s="142">
        <v>0</v>
      </c>
      <c r="P6" s="142">
        <v>8550</v>
      </c>
      <c r="Q6" s="142">
        <v>9602</v>
      </c>
      <c r="R6" s="142">
        <v>0</v>
      </c>
      <c r="S6" s="142">
        <v>4500</v>
      </c>
      <c r="T6" s="142">
        <v>4960</v>
      </c>
      <c r="U6" s="142">
        <v>0</v>
      </c>
      <c r="V6" s="142">
        <v>8500</v>
      </c>
      <c r="W6" s="142">
        <v>13810</v>
      </c>
      <c r="X6" s="142">
        <v>0</v>
      </c>
      <c r="Y6" s="142">
        <v>5000</v>
      </c>
      <c r="Z6" s="142">
        <v>6640</v>
      </c>
      <c r="AA6" s="142">
        <v>0</v>
      </c>
      <c r="AB6" s="142">
        <v>4600</v>
      </c>
      <c r="AC6" s="142">
        <v>7090</v>
      </c>
      <c r="AD6" s="142">
        <v>0</v>
      </c>
      <c r="AE6" s="142">
        <v>12000</v>
      </c>
      <c r="AF6" s="142">
        <v>14480</v>
      </c>
      <c r="AG6" s="222">
        <v>0</v>
      </c>
      <c r="AH6" s="231">
        <f>+Janvier!AJ6</f>
        <v>8562.51</v>
      </c>
      <c r="AI6" s="231">
        <f>+Janvier!AK6</f>
        <v>29828.509615384621</v>
      </c>
      <c r="AJ6" s="231">
        <f>+Janvier!AL6</f>
        <v>19865.787403846156</v>
      </c>
      <c r="AK6" s="231">
        <f>+Janvier!AM6</f>
        <v>19865.787403846156</v>
      </c>
      <c r="AL6" s="231">
        <f>+Janvier!AN6</f>
        <v>12527.97403846154</v>
      </c>
      <c r="AM6" s="231">
        <f>+Janvier!AO6</f>
        <v>7457.1274038461552</v>
      </c>
      <c r="AN6" s="231">
        <f>+Janvier!AP6</f>
        <v>14914.25480769231</v>
      </c>
      <c r="AO6" s="231">
        <f>+Janvier!AQ6</f>
        <v>7457.1274038461552</v>
      </c>
      <c r="AP6" s="231">
        <f>+Janvier!AR6</f>
        <v>7457.1274038461552</v>
      </c>
      <c r="AQ6" s="231">
        <f>+Janvier!AS6</f>
        <v>13292.847692307696</v>
      </c>
      <c r="AR6" s="16">
        <f>ROUND(E6/(AH6/15),0)</f>
        <v>8</v>
      </c>
      <c r="AS6" s="16">
        <f>ROUND(H6/(AI6/15),0)</f>
        <v>17</v>
      </c>
      <c r="AT6" s="16">
        <f>ROUND(K6/(AJ6/15),0)</f>
        <v>11</v>
      </c>
      <c r="AU6" s="16">
        <f>ROUND(N6/(AK6/15),0)</f>
        <v>16</v>
      </c>
      <c r="AV6" s="16">
        <f>ROUND(Q6/(AL6/15),0)</f>
        <v>11</v>
      </c>
      <c r="AW6" s="16">
        <f>ROUND(T6/(AM6/15),0)</f>
        <v>10</v>
      </c>
      <c r="AX6" s="16">
        <f>ROUND(W6/(AN6/15),0)</f>
        <v>14</v>
      </c>
      <c r="AY6" s="16">
        <f>ROUND(Z6/(AO6/15),0)</f>
        <v>13</v>
      </c>
      <c r="AZ6" s="16">
        <f>ROUND(AC6/(AP6/15),0)</f>
        <v>14</v>
      </c>
      <c r="BA6" s="17">
        <f t="shared" ref="BA6" si="0">ROUND(AF6/(AQ6/15),0)</f>
        <v>16</v>
      </c>
    </row>
    <row r="7" spans="1:53" ht="15" thickBot="1" x14ac:dyDescent="0.35">
      <c r="A7" s="120" t="s">
        <v>100</v>
      </c>
      <c r="B7" s="94">
        <v>43862</v>
      </c>
      <c r="C7" s="94">
        <v>43890</v>
      </c>
      <c r="D7" s="122">
        <v>180</v>
      </c>
      <c r="E7" s="106">
        <v>220</v>
      </c>
      <c r="F7" s="117">
        <v>0</v>
      </c>
      <c r="G7" s="116">
        <v>320</v>
      </c>
      <c r="H7" s="96">
        <v>720</v>
      </c>
      <c r="I7" s="105">
        <v>0</v>
      </c>
      <c r="J7" s="95">
        <v>310</v>
      </c>
      <c r="K7" s="96">
        <v>530</v>
      </c>
      <c r="L7" s="97">
        <v>0</v>
      </c>
      <c r="M7" s="95">
        <v>292</v>
      </c>
      <c r="N7" s="96">
        <v>432</v>
      </c>
      <c r="O7" s="97">
        <v>0</v>
      </c>
      <c r="P7" s="95">
        <v>260</v>
      </c>
      <c r="Q7" s="96">
        <v>371</v>
      </c>
      <c r="R7" s="97">
        <v>0</v>
      </c>
      <c r="S7" s="95">
        <v>150</v>
      </c>
      <c r="T7" s="96">
        <v>180</v>
      </c>
      <c r="U7" s="97">
        <v>0</v>
      </c>
      <c r="V7" s="95">
        <v>200</v>
      </c>
      <c r="W7" s="96">
        <v>420</v>
      </c>
      <c r="X7" s="97">
        <v>0</v>
      </c>
      <c r="Y7" s="95">
        <v>100</v>
      </c>
      <c r="Z7" s="96">
        <v>210</v>
      </c>
      <c r="AA7" s="97">
        <v>0</v>
      </c>
      <c r="AB7" s="95">
        <v>140</v>
      </c>
      <c r="AC7" s="96">
        <v>210</v>
      </c>
      <c r="AD7" s="97">
        <v>0</v>
      </c>
      <c r="AE7" s="95">
        <v>260</v>
      </c>
      <c r="AF7" s="96">
        <v>360</v>
      </c>
      <c r="AG7" s="105">
        <v>0</v>
      </c>
      <c r="AH7" s="231">
        <f>+Janvier!AJ7</f>
        <v>205.71428571428572</v>
      </c>
      <c r="AI7" s="231">
        <f>+Janvier!AK7</f>
        <v>640.00000000000011</v>
      </c>
      <c r="AJ7" s="231">
        <f>+Janvier!AL7</f>
        <v>480</v>
      </c>
      <c r="AK7" s="231">
        <f>+Janvier!AM7</f>
        <v>480</v>
      </c>
      <c r="AL7" s="231">
        <f>+Janvier!AN7</f>
        <v>290.90909090909099</v>
      </c>
      <c r="AM7" s="231">
        <f>+Janvier!AO7</f>
        <v>180.00000000000003</v>
      </c>
      <c r="AN7" s="231">
        <f>+Janvier!AP7</f>
        <v>360.00000000000006</v>
      </c>
      <c r="AO7" s="231">
        <f>+Janvier!AQ7</f>
        <v>180.00000000000003</v>
      </c>
      <c r="AP7" s="231">
        <f>+Janvier!AR7</f>
        <v>180.00000000000003</v>
      </c>
      <c r="AQ7" s="231">
        <f>+Janvier!AS7</f>
        <v>320.00000000000006</v>
      </c>
      <c r="AR7" s="19">
        <f t="shared" ref="AR7:AR13" si="1">ROUND(E7/(AH7/5),0)</f>
        <v>5</v>
      </c>
      <c r="AS7" s="19">
        <f>ROUND(H7/(AI7/5),0)</f>
        <v>6</v>
      </c>
      <c r="AT7" s="19">
        <f>ROUND(K7/(AJ7/5),0)</f>
        <v>6</v>
      </c>
      <c r="AU7" s="19">
        <f>ROUND(N7/(AK7/5),0)</f>
        <v>5</v>
      </c>
      <c r="AV7" s="19">
        <f>ROUND(Q7/(AL7/5),0)</f>
        <v>6</v>
      </c>
      <c r="AW7" s="19">
        <f>ROUND(T7/(AM7/5),0)</f>
        <v>5</v>
      </c>
      <c r="AX7" s="19">
        <f>ROUND(W7/(AN7/5),0)</f>
        <v>6</v>
      </c>
      <c r="AY7" s="19">
        <f>ROUND(Z7/(AO7/5),0)</f>
        <v>6</v>
      </c>
      <c r="AZ7" s="19">
        <f>ROUND(AC7/(AP7/5),0)</f>
        <v>6</v>
      </c>
      <c r="BA7" s="20">
        <f t="shared" ref="BA7:BA13" si="2">ROUND(AF7/(AQ7/5),0)</f>
        <v>6</v>
      </c>
    </row>
    <row r="8" spans="1:53" ht="15" thickBot="1" x14ac:dyDescent="0.35">
      <c r="A8" s="120" t="s">
        <v>101</v>
      </c>
      <c r="B8" s="94">
        <v>43862</v>
      </c>
      <c r="C8" s="94">
        <v>43890</v>
      </c>
      <c r="D8" s="122">
        <v>20</v>
      </c>
      <c r="E8" s="96">
        <v>1040</v>
      </c>
      <c r="F8" s="97">
        <v>0</v>
      </c>
      <c r="G8" s="95">
        <v>360</v>
      </c>
      <c r="H8" s="96">
        <v>2180</v>
      </c>
      <c r="I8" s="105">
        <v>0</v>
      </c>
      <c r="J8" s="95">
        <v>1530</v>
      </c>
      <c r="K8" s="96">
        <v>1570</v>
      </c>
      <c r="L8" s="97">
        <v>0</v>
      </c>
      <c r="M8" s="95">
        <v>1556</v>
      </c>
      <c r="N8" s="96">
        <v>1568</v>
      </c>
      <c r="O8" s="97">
        <v>0</v>
      </c>
      <c r="P8" s="95">
        <v>997</v>
      </c>
      <c r="Q8" s="96">
        <v>1005</v>
      </c>
      <c r="R8" s="97">
        <v>0</v>
      </c>
      <c r="S8" s="95">
        <v>150</v>
      </c>
      <c r="T8" s="96">
        <v>180</v>
      </c>
      <c r="U8" s="97">
        <v>0</v>
      </c>
      <c r="V8" s="95">
        <v>1160</v>
      </c>
      <c r="W8" s="96">
        <v>1520</v>
      </c>
      <c r="X8" s="97">
        <v>0</v>
      </c>
      <c r="Y8" s="95">
        <v>590</v>
      </c>
      <c r="Z8" s="96">
        <v>760</v>
      </c>
      <c r="AA8" s="97">
        <v>0</v>
      </c>
      <c r="AB8" s="95">
        <v>570</v>
      </c>
      <c r="AC8" s="96">
        <v>760</v>
      </c>
      <c r="AD8" s="97">
        <v>0</v>
      </c>
      <c r="AE8" s="95">
        <v>380</v>
      </c>
      <c r="AF8" s="96">
        <v>1240</v>
      </c>
      <c r="AG8" s="105">
        <v>0</v>
      </c>
      <c r="AH8" s="231">
        <f>+Janvier!AJ8</f>
        <v>676.23626373626382</v>
      </c>
      <c r="AI8" s="231">
        <f>+Janvier!AK8</f>
        <v>2103.8461538461538</v>
      </c>
      <c r="AJ8" s="231">
        <f>+Janvier!AL8</f>
        <v>1577.8846153846155</v>
      </c>
      <c r="AK8" s="231">
        <f>+Janvier!AM8</f>
        <v>1577.8846153846155</v>
      </c>
      <c r="AL8" s="231">
        <f>+Janvier!AN8</f>
        <v>956.29370629370646</v>
      </c>
      <c r="AM8" s="231">
        <f>+Janvier!AO8</f>
        <v>591.70673076923083</v>
      </c>
      <c r="AN8" s="231">
        <f>+Janvier!AP8</f>
        <v>1183.4134615384617</v>
      </c>
      <c r="AO8" s="231">
        <f>+Janvier!AQ8</f>
        <v>591.70673076923083</v>
      </c>
      <c r="AP8" s="231">
        <f>+Janvier!AR8</f>
        <v>591.70673076923083</v>
      </c>
      <c r="AQ8" s="231">
        <f>+Janvier!AS8</f>
        <v>1051.9230769230769</v>
      </c>
      <c r="AR8" s="19">
        <f t="shared" si="1"/>
        <v>8</v>
      </c>
      <c r="AS8" s="19">
        <f t="shared" ref="AS8:AS13" si="3">ROUND(H8/(AI8/5),0)</f>
        <v>5</v>
      </c>
      <c r="AT8" s="19">
        <f t="shared" ref="AT8:AT13" si="4">ROUND(K8/(AJ8/5),0)</f>
        <v>5</v>
      </c>
      <c r="AU8" s="19">
        <f t="shared" ref="AU8:AU13" si="5">ROUND(N8/(AK8/5),0)</f>
        <v>5</v>
      </c>
      <c r="AV8" s="19">
        <f t="shared" ref="AV8:AV13" si="6">ROUND(Q8/(AL8/5),0)</f>
        <v>5</v>
      </c>
      <c r="AW8" s="19">
        <f t="shared" ref="AW8:AW13" si="7">ROUND(T8/(AM8/5),0)</f>
        <v>2</v>
      </c>
      <c r="AX8" s="19">
        <f t="shared" ref="AX8:AX13" si="8">ROUND(W8/(AN8/5),0)</f>
        <v>6</v>
      </c>
      <c r="AY8" s="19">
        <f t="shared" ref="AY8:AY13" si="9">ROUND(Z8/(AO8/5),0)</f>
        <v>6</v>
      </c>
      <c r="AZ8" s="19">
        <f t="shared" ref="AZ8:AZ13" si="10">ROUND(AC8/(AP8/5),0)</f>
        <v>6</v>
      </c>
      <c r="BA8" s="20">
        <f t="shared" si="2"/>
        <v>6</v>
      </c>
    </row>
    <row r="9" spans="1:53" ht="15" thickBot="1" x14ac:dyDescent="0.35">
      <c r="A9" s="120" t="s">
        <v>102</v>
      </c>
      <c r="B9" s="94">
        <v>43862</v>
      </c>
      <c r="C9" s="94">
        <v>43890</v>
      </c>
      <c r="D9" s="122">
        <v>460</v>
      </c>
      <c r="E9" s="96">
        <v>780</v>
      </c>
      <c r="F9" s="97">
        <v>0</v>
      </c>
      <c r="G9" s="95">
        <v>1380</v>
      </c>
      <c r="H9" s="96">
        <v>2060</v>
      </c>
      <c r="I9" s="105">
        <v>0</v>
      </c>
      <c r="J9" s="95">
        <v>990</v>
      </c>
      <c r="K9" s="96">
        <v>1540</v>
      </c>
      <c r="L9" s="97">
        <v>0</v>
      </c>
      <c r="M9" s="95">
        <v>1112</v>
      </c>
      <c r="N9" s="96">
        <v>1536</v>
      </c>
      <c r="O9" s="97">
        <v>0</v>
      </c>
      <c r="P9" s="95">
        <v>240</v>
      </c>
      <c r="Q9" s="96">
        <v>290</v>
      </c>
      <c r="R9" s="97">
        <v>0</v>
      </c>
      <c r="S9" s="95">
        <v>0</v>
      </c>
      <c r="T9" s="96">
        <v>70</v>
      </c>
      <c r="U9" s="97">
        <v>0</v>
      </c>
      <c r="V9" s="95">
        <v>100</v>
      </c>
      <c r="W9" s="96">
        <v>430</v>
      </c>
      <c r="X9" s="97">
        <v>0</v>
      </c>
      <c r="Y9" s="95">
        <v>100</v>
      </c>
      <c r="Z9" s="96">
        <v>150</v>
      </c>
      <c r="AA9" s="97">
        <v>0</v>
      </c>
      <c r="AB9" s="95">
        <v>160</v>
      </c>
      <c r="AC9" s="96">
        <v>190</v>
      </c>
      <c r="AD9" s="97">
        <v>0</v>
      </c>
      <c r="AE9" s="95">
        <v>160</v>
      </c>
      <c r="AF9" s="96">
        <v>260</v>
      </c>
      <c r="AG9" s="105">
        <v>0</v>
      </c>
      <c r="AH9" s="231">
        <f>+Janvier!AJ9</f>
        <v>611.82692307692309</v>
      </c>
      <c r="AI9" s="231">
        <f>+Janvier!AK9</f>
        <v>1903.4615384615386</v>
      </c>
      <c r="AJ9" s="231">
        <f>+Janvier!AL9</f>
        <v>1427.5961538461543</v>
      </c>
      <c r="AK9" s="231">
        <f>+Janvier!AM9</f>
        <v>1427.5961538461543</v>
      </c>
      <c r="AL9" s="231">
        <f>+Janvier!AN9</f>
        <v>865.20979020979041</v>
      </c>
      <c r="AM9" s="231">
        <f>+Janvier!AO9</f>
        <v>535.34855769230762</v>
      </c>
      <c r="AN9" s="231">
        <f>+Janvier!AP9</f>
        <v>1070.6971153846152</v>
      </c>
      <c r="AO9" s="231">
        <f>+Janvier!AQ9</f>
        <v>535.34855769230762</v>
      </c>
      <c r="AP9" s="231">
        <f>+Janvier!AR9</f>
        <v>535.34855769230762</v>
      </c>
      <c r="AQ9" s="231">
        <f>+Janvier!AS9</f>
        <v>951.73076923076928</v>
      </c>
      <c r="AR9" s="19">
        <f t="shared" si="1"/>
        <v>6</v>
      </c>
      <c r="AS9" s="19">
        <f t="shared" si="3"/>
        <v>5</v>
      </c>
      <c r="AT9" s="19">
        <f t="shared" si="4"/>
        <v>5</v>
      </c>
      <c r="AU9" s="19">
        <f t="shared" si="5"/>
        <v>5</v>
      </c>
      <c r="AV9" s="19">
        <f t="shared" si="6"/>
        <v>2</v>
      </c>
      <c r="AW9" s="19">
        <f t="shared" si="7"/>
        <v>1</v>
      </c>
      <c r="AX9" s="19">
        <f t="shared" si="8"/>
        <v>2</v>
      </c>
      <c r="AY9" s="19">
        <f t="shared" si="9"/>
        <v>1</v>
      </c>
      <c r="AZ9" s="19">
        <f t="shared" si="10"/>
        <v>2</v>
      </c>
      <c r="BA9" s="20">
        <f t="shared" si="2"/>
        <v>1</v>
      </c>
    </row>
    <row r="10" spans="1:53" ht="15" thickBot="1" x14ac:dyDescent="0.35">
      <c r="A10" s="120" t="s">
        <v>34</v>
      </c>
      <c r="B10" s="94">
        <v>43862</v>
      </c>
      <c r="C10" s="94">
        <v>43890</v>
      </c>
      <c r="D10" s="122">
        <v>200</v>
      </c>
      <c r="E10" s="96">
        <v>300</v>
      </c>
      <c r="F10" s="97">
        <v>0</v>
      </c>
      <c r="G10" s="95">
        <v>600</v>
      </c>
      <c r="H10" s="96">
        <v>660</v>
      </c>
      <c r="I10" s="105">
        <v>0</v>
      </c>
      <c r="J10" s="95">
        <v>420</v>
      </c>
      <c r="K10" s="96">
        <v>470</v>
      </c>
      <c r="L10" s="97">
        <v>0</v>
      </c>
      <c r="M10" s="95">
        <v>460</v>
      </c>
      <c r="N10" s="96">
        <v>700</v>
      </c>
      <c r="O10" s="97">
        <v>0</v>
      </c>
      <c r="P10" s="95">
        <v>0</v>
      </c>
      <c r="Q10" s="96">
        <v>50</v>
      </c>
      <c r="R10" s="97">
        <v>0</v>
      </c>
      <c r="S10" s="95">
        <v>0</v>
      </c>
      <c r="T10" s="96">
        <v>140</v>
      </c>
      <c r="U10" s="97">
        <v>0</v>
      </c>
      <c r="V10" s="95">
        <v>0</v>
      </c>
      <c r="W10" s="96">
        <v>4200</v>
      </c>
      <c r="X10" s="97">
        <v>0</v>
      </c>
      <c r="Y10" s="95">
        <v>0</v>
      </c>
      <c r="Z10" s="96">
        <v>60</v>
      </c>
      <c r="AA10" s="97">
        <v>0</v>
      </c>
      <c r="AB10" s="95">
        <v>0</v>
      </c>
      <c r="AC10" s="96">
        <v>70</v>
      </c>
      <c r="AD10" s="97">
        <v>0</v>
      </c>
      <c r="AE10" s="95">
        <v>0</v>
      </c>
      <c r="AF10" s="96">
        <v>100</v>
      </c>
      <c r="AG10" s="105">
        <v>0</v>
      </c>
      <c r="AH10" s="231">
        <f>+Janvier!AJ10</f>
        <v>104.46428571428572</v>
      </c>
      <c r="AI10" s="231">
        <f>+Janvier!AK10</f>
        <v>325</v>
      </c>
      <c r="AJ10" s="231">
        <f>+Janvier!AL10</f>
        <v>243.75</v>
      </c>
      <c r="AK10" s="231">
        <f>+Janvier!AM10</f>
        <v>243.75</v>
      </c>
      <c r="AL10" s="231">
        <f>+Janvier!AN10</f>
        <v>147.72727272727275</v>
      </c>
      <c r="AM10" s="231">
        <f>+Janvier!AO10</f>
        <v>91.40625</v>
      </c>
      <c r="AN10" s="231">
        <f>+Janvier!AP10</f>
        <v>182.8125</v>
      </c>
      <c r="AO10" s="231">
        <f>+Janvier!AQ10</f>
        <v>91.40625</v>
      </c>
      <c r="AP10" s="231">
        <f>+Janvier!AR10</f>
        <v>91.40625</v>
      </c>
      <c r="AQ10" s="231">
        <f>+Janvier!AS10</f>
        <v>162.5</v>
      </c>
      <c r="AR10" s="19">
        <f t="shared" si="1"/>
        <v>14</v>
      </c>
      <c r="AS10" s="19">
        <f t="shared" si="3"/>
        <v>10</v>
      </c>
      <c r="AT10" s="19">
        <f t="shared" si="4"/>
        <v>10</v>
      </c>
      <c r="AU10" s="19">
        <f t="shared" si="5"/>
        <v>14</v>
      </c>
      <c r="AV10" s="19">
        <f t="shared" si="6"/>
        <v>2</v>
      </c>
      <c r="AW10" s="19">
        <f t="shared" si="7"/>
        <v>8</v>
      </c>
      <c r="AX10" s="19">
        <f t="shared" si="8"/>
        <v>115</v>
      </c>
      <c r="AY10" s="19">
        <f t="shared" si="9"/>
        <v>3</v>
      </c>
      <c r="AZ10" s="19">
        <f t="shared" si="10"/>
        <v>4</v>
      </c>
      <c r="BA10" s="20">
        <f t="shared" si="2"/>
        <v>3</v>
      </c>
    </row>
    <row r="11" spans="1:53" ht="15" thickBot="1" x14ac:dyDescent="0.35">
      <c r="A11" s="120" t="s">
        <v>103</v>
      </c>
      <c r="B11" s="94">
        <v>43862</v>
      </c>
      <c r="C11" s="94">
        <v>43890</v>
      </c>
      <c r="D11" s="122">
        <v>140</v>
      </c>
      <c r="E11" s="96">
        <v>180</v>
      </c>
      <c r="F11" s="97">
        <v>0</v>
      </c>
      <c r="G11" s="95">
        <v>400</v>
      </c>
      <c r="H11" s="96">
        <v>580</v>
      </c>
      <c r="I11" s="105">
        <v>0</v>
      </c>
      <c r="J11" s="95">
        <v>340</v>
      </c>
      <c r="K11" s="96">
        <v>440</v>
      </c>
      <c r="L11" s="97">
        <v>0</v>
      </c>
      <c r="M11" s="95">
        <v>172</v>
      </c>
      <c r="N11" s="96">
        <v>260</v>
      </c>
      <c r="O11" s="97">
        <v>0</v>
      </c>
      <c r="P11" s="95">
        <v>224</v>
      </c>
      <c r="Q11" s="96">
        <v>436</v>
      </c>
      <c r="R11" s="97">
        <v>0</v>
      </c>
      <c r="S11" s="95">
        <v>110</v>
      </c>
      <c r="T11" s="96">
        <v>160</v>
      </c>
      <c r="U11" s="97">
        <v>0</v>
      </c>
      <c r="V11" s="95">
        <v>110</v>
      </c>
      <c r="W11" s="96">
        <v>330</v>
      </c>
      <c r="X11" s="97">
        <v>0</v>
      </c>
      <c r="Y11" s="95">
        <v>100</v>
      </c>
      <c r="Z11" s="96">
        <v>160</v>
      </c>
      <c r="AA11" s="97">
        <v>0</v>
      </c>
      <c r="AB11" s="95">
        <v>60</v>
      </c>
      <c r="AC11" s="96">
        <v>160</v>
      </c>
      <c r="AD11" s="97">
        <v>0</v>
      </c>
      <c r="AE11" s="95">
        <v>0</v>
      </c>
      <c r="AF11" s="96">
        <v>300</v>
      </c>
      <c r="AG11" s="105">
        <v>0</v>
      </c>
      <c r="AH11" s="231">
        <f>+Janvier!AJ11</f>
        <v>190.75549450549454</v>
      </c>
      <c r="AI11" s="231">
        <f>+Janvier!AK11</f>
        <v>593.46153846153857</v>
      </c>
      <c r="AJ11" s="231">
        <f>+Janvier!AL11</f>
        <v>445.09615384615392</v>
      </c>
      <c r="AK11" s="231">
        <f>+Janvier!AM11</f>
        <v>445.09615384615392</v>
      </c>
      <c r="AL11" s="231">
        <f>+Janvier!AN11</f>
        <v>269.7552447552448</v>
      </c>
      <c r="AM11" s="231">
        <f>+Janvier!AO11</f>
        <v>166.91105769230771</v>
      </c>
      <c r="AN11" s="231">
        <f>+Janvier!AP11</f>
        <v>333.82211538461542</v>
      </c>
      <c r="AO11" s="231">
        <f>+Janvier!AQ11</f>
        <v>166.91105769230771</v>
      </c>
      <c r="AP11" s="231">
        <f>+Janvier!AR11</f>
        <v>166.91105769230771</v>
      </c>
      <c r="AQ11" s="231">
        <f>+Janvier!AS11</f>
        <v>296.73076923076928</v>
      </c>
      <c r="AR11" s="19">
        <f t="shared" si="1"/>
        <v>5</v>
      </c>
      <c r="AS11" s="19">
        <f t="shared" si="3"/>
        <v>5</v>
      </c>
      <c r="AT11" s="19">
        <f t="shared" si="4"/>
        <v>5</v>
      </c>
      <c r="AU11" s="19">
        <f t="shared" si="5"/>
        <v>3</v>
      </c>
      <c r="AV11" s="19">
        <f t="shared" si="6"/>
        <v>8</v>
      </c>
      <c r="AW11" s="19">
        <f t="shared" si="7"/>
        <v>5</v>
      </c>
      <c r="AX11" s="19">
        <f t="shared" si="8"/>
        <v>5</v>
      </c>
      <c r="AY11" s="19">
        <f t="shared" si="9"/>
        <v>5</v>
      </c>
      <c r="AZ11" s="19">
        <f t="shared" si="10"/>
        <v>5</v>
      </c>
      <c r="BA11" s="20">
        <f t="shared" si="2"/>
        <v>5</v>
      </c>
    </row>
    <row r="12" spans="1:53" ht="15" thickBot="1" x14ac:dyDescent="0.35">
      <c r="A12" s="120" t="s">
        <v>104</v>
      </c>
      <c r="B12" s="94">
        <v>43863</v>
      </c>
      <c r="C12" s="94">
        <v>43890</v>
      </c>
      <c r="D12" s="122">
        <v>400</v>
      </c>
      <c r="E12" s="106">
        <v>420</v>
      </c>
      <c r="F12" s="117">
        <v>0</v>
      </c>
      <c r="G12" s="116">
        <v>440</v>
      </c>
      <c r="H12" s="96">
        <v>840</v>
      </c>
      <c r="I12" s="105">
        <v>0</v>
      </c>
      <c r="J12" s="95">
        <v>620</v>
      </c>
      <c r="K12" s="96">
        <v>780</v>
      </c>
      <c r="L12" s="97">
        <v>0</v>
      </c>
      <c r="M12" s="95">
        <v>586</v>
      </c>
      <c r="N12" s="96">
        <v>702</v>
      </c>
      <c r="O12" s="97">
        <v>0</v>
      </c>
      <c r="P12" s="95">
        <v>350</v>
      </c>
      <c r="Q12" s="96">
        <v>501</v>
      </c>
      <c r="R12" s="97">
        <v>0</v>
      </c>
      <c r="S12" s="95">
        <v>170</v>
      </c>
      <c r="T12" s="96">
        <v>280</v>
      </c>
      <c r="U12" s="97">
        <v>0</v>
      </c>
      <c r="V12" s="95">
        <v>510</v>
      </c>
      <c r="W12" s="96">
        <v>620</v>
      </c>
      <c r="X12" s="97">
        <v>0</v>
      </c>
      <c r="Y12" s="95">
        <v>250</v>
      </c>
      <c r="Z12" s="96">
        <v>310</v>
      </c>
      <c r="AA12" s="97">
        <v>0</v>
      </c>
      <c r="AB12" s="95">
        <v>330</v>
      </c>
      <c r="AC12" s="96">
        <v>340</v>
      </c>
      <c r="AD12" s="97">
        <v>0</v>
      </c>
      <c r="AE12" s="95">
        <v>520</v>
      </c>
      <c r="AF12" s="96">
        <v>700</v>
      </c>
      <c r="AG12" s="105">
        <v>0</v>
      </c>
      <c r="AH12" s="231">
        <f>+Janvier!AJ12</f>
        <v>302.3901098901099</v>
      </c>
      <c r="AI12" s="231">
        <f>+Janvier!AK12</f>
        <v>940.76923076923083</v>
      </c>
      <c r="AJ12" s="231">
        <f>+Janvier!AL12</f>
        <v>705.57692307692321</v>
      </c>
      <c r="AK12" s="231">
        <f>+Janvier!AM12</f>
        <v>705.57692307692321</v>
      </c>
      <c r="AL12" s="231">
        <f>+Janvier!AN12</f>
        <v>427.62237762237766</v>
      </c>
      <c r="AM12" s="231">
        <f>+Janvier!AO12</f>
        <v>264.59134615384619</v>
      </c>
      <c r="AN12" s="231">
        <f>+Janvier!AP12</f>
        <v>529.18269230769238</v>
      </c>
      <c r="AO12" s="231">
        <f>+Janvier!AQ12</f>
        <v>264.59134615384619</v>
      </c>
      <c r="AP12" s="231">
        <f>+Janvier!AR12</f>
        <v>264.59134615384619</v>
      </c>
      <c r="AQ12" s="231">
        <f>+Janvier!AS12</f>
        <v>470.38461538461542</v>
      </c>
      <c r="AR12" s="19">
        <f t="shared" si="1"/>
        <v>7</v>
      </c>
      <c r="AS12" s="19">
        <f t="shared" si="3"/>
        <v>4</v>
      </c>
      <c r="AT12" s="19">
        <f t="shared" si="4"/>
        <v>6</v>
      </c>
      <c r="AU12" s="19">
        <f t="shared" si="5"/>
        <v>5</v>
      </c>
      <c r="AV12" s="19">
        <f t="shared" si="6"/>
        <v>6</v>
      </c>
      <c r="AW12" s="19">
        <f t="shared" si="7"/>
        <v>5</v>
      </c>
      <c r="AX12" s="19">
        <f t="shared" si="8"/>
        <v>6</v>
      </c>
      <c r="AY12" s="19">
        <f t="shared" si="9"/>
        <v>6</v>
      </c>
      <c r="AZ12" s="19">
        <f t="shared" si="10"/>
        <v>6</v>
      </c>
      <c r="BA12" s="20">
        <f t="shared" si="2"/>
        <v>7</v>
      </c>
    </row>
    <row r="13" spans="1:53" ht="15" thickBot="1" x14ac:dyDescent="0.35">
      <c r="A13" s="121" t="s">
        <v>105</v>
      </c>
      <c r="B13" s="143">
        <v>43862</v>
      </c>
      <c r="C13" s="143">
        <v>43890</v>
      </c>
      <c r="D13" s="144">
        <v>540</v>
      </c>
      <c r="E13" s="145">
        <v>740</v>
      </c>
      <c r="F13" s="146">
        <v>0</v>
      </c>
      <c r="G13" s="147">
        <v>760</v>
      </c>
      <c r="H13" s="109">
        <v>2280</v>
      </c>
      <c r="I13" s="112">
        <v>0</v>
      </c>
      <c r="J13" s="111">
        <v>560</v>
      </c>
      <c r="K13" s="109">
        <v>1710</v>
      </c>
      <c r="L13" s="110">
        <v>0</v>
      </c>
      <c r="M13" s="111">
        <v>480</v>
      </c>
      <c r="N13" s="109">
        <v>1240</v>
      </c>
      <c r="O13" s="110">
        <v>0</v>
      </c>
      <c r="P13" s="111">
        <v>386</v>
      </c>
      <c r="Q13" s="109">
        <v>1101</v>
      </c>
      <c r="R13" s="110">
        <v>0</v>
      </c>
      <c r="S13" s="111">
        <v>250</v>
      </c>
      <c r="T13" s="109">
        <v>570</v>
      </c>
      <c r="U13" s="110">
        <v>0</v>
      </c>
      <c r="V13" s="111">
        <v>140</v>
      </c>
      <c r="W13" s="109">
        <v>1360</v>
      </c>
      <c r="X13" s="110">
        <v>0</v>
      </c>
      <c r="Y13" s="111">
        <v>160</v>
      </c>
      <c r="Z13" s="109">
        <v>680</v>
      </c>
      <c r="AA13" s="110">
        <v>0</v>
      </c>
      <c r="AB13" s="111">
        <v>250</v>
      </c>
      <c r="AC13" s="109">
        <v>680</v>
      </c>
      <c r="AD13" s="110">
        <v>0</v>
      </c>
      <c r="AE13" s="111">
        <v>350</v>
      </c>
      <c r="AF13" s="109">
        <v>1170</v>
      </c>
      <c r="AG13" s="112">
        <v>0</v>
      </c>
      <c r="AH13" s="231">
        <f>+Janvier!AJ13</f>
        <v>749.42307692307691</v>
      </c>
      <c r="AI13" s="231">
        <f>+Janvier!AK13</f>
        <v>2331.5384615384619</v>
      </c>
      <c r="AJ13" s="231">
        <f>+Janvier!AL13</f>
        <v>1748.6538461538464</v>
      </c>
      <c r="AK13" s="231">
        <f>+Janvier!AM13</f>
        <v>1748.6538461538464</v>
      </c>
      <c r="AL13" s="231">
        <f>+Janvier!AN13</f>
        <v>1059.7902097902099</v>
      </c>
      <c r="AM13" s="231">
        <f>+Janvier!AO13</f>
        <v>655.74519230769226</v>
      </c>
      <c r="AN13" s="231">
        <f>+Janvier!AP13</f>
        <v>1311.4903846153845</v>
      </c>
      <c r="AO13" s="231">
        <f>+Janvier!AQ13</f>
        <v>655.74519230769226</v>
      </c>
      <c r="AP13" s="231">
        <f>+Janvier!AR13</f>
        <v>655.74519230769226</v>
      </c>
      <c r="AQ13" s="231">
        <f>+Janvier!AS13</f>
        <v>1165.7692307692309</v>
      </c>
      <c r="AR13" s="29">
        <f t="shared" si="1"/>
        <v>5</v>
      </c>
      <c r="AS13" s="29">
        <f t="shared" si="3"/>
        <v>5</v>
      </c>
      <c r="AT13" s="29">
        <f t="shared" si="4"/>
        <v>5</v>
      </c>
      <c r="AU13" s="29">
        <f t="shared" si="5"/>
        <v>4</v>
      </c>
      <c r="AV13" s="29">
        <f t="shared" si="6"/>
        <v>5</v>
      </c>
      <c r="AW13" s="29">
        <f t="shared" si="7"/>
        <v>4</v>
      </c>
      <c r="AX13" s="29">
        <f t="shared" si="8"/>
        <v>5</v>
      </c>
      <c r="AY13" s="29">
        <f t="shared" si="9"/>
        <v>5</v>
      </c>
      <c r="AZ13" s="29">
        <f t="shared" si="10"/>
        <v>5</v>
      </c>
      <c r="BA13" s="30">
        <f t="shared" si="2"/>
        <v>5</v>
      </c>
    </row>
    <row r="14" spans="1:53" x14ac:dyDescent="0.3">
      <c r="A14" s="140" t="s">
        <v>85</v>
      </c>
      <c r="B14" s="152">
        <v>43862</v>
      </c>
      <c r="C14" s="152">
        <v>43890</v>
      </c>
      <c r="D14" s="153">
        <v>7000</v>
      </c>
      <c r="E14" s="154">
        <v>7000</v>
      </c>
      <c r="F14" s="165">
        <v>12</v>
      </c>
      <c r="G14" s="166">
        <v>32000</v>
      </c>
      <c r="H14" s="167">
        <v>32000</v>
      </c>
      <c r="I14" s="168">
        <v>10</v>
      </c>
      <c r="J14" s="155">
        <v>15000</v>
      </c>
      <c r="K14" s="154">
        <v>17570</v>
      </c>
      <c r="L14" s="153">
        <v>0</v>
      </c>
      <c r="M14" s="155">
        <v>23000</v>
      </c>
      <c r="N14" s="154">
        <v>25400</v>
      </c>
      <c r="O14" s="153">
        <v>0</v>
      </c>
      <c r="P14" s="155">
        <v>12050</v>
      </c>
      <c r="Q14" s="154">
        <v>12990</v>
      </c>
      <c r="R14" s="153">
        <v>0</v>
      </c>
      <c r="S14" s="155">
        <v>7000</v>
      </c>
      <c r="T14" s="154">
        <v>5170</v>
      </c>
      <c r="U14" s="153">
        <v>0</v>
      </c>
      <c r="V14" s="155">
        <v>14000</v>
      </c>
      <c r="W14" s="154">
        <v>29530</v>
      </c>
      <c r="X14" s="153">
        <v>0</v>
      </c>
      <c r="Y14" s="155">
        <v>6000</v>
      </c>
      <c r="Z14" s="154">
        <v>8400</v>
      </c>
      <c r="AA14" s="153">
        <v>10</v>
      </c>
      <c r="AB14" s="155">
        <v>3000</v>
      </c>
      <c r="AC14" s="154">
        <v>3990</v>
      </c>
      <c r="AD14" s="153">
        <v>0</v>
      </c>
      <c r="AE14" s="155">
        <v>13000</v>
      </c>
      <c r="AF14" s="154">
        <v>12660</v>
      </c>
      <c r="AG14" s="223">
        <v>0</v>
      </c>
      <c r="AH14" s="231">
        <f>+Janvier!AJ14</f>
        <v>10845.32625</v>
      </c>
      <c r="AI14" s="231">
        <f>+Janvier!AK14</f>
        <v>37883.076923076922</v>
      </c>
      <c r="AJ14" s="231">
        <f>+Janvier!AL14</f>
        <v>25230.129230769231</v>
      </c>
      <c r="AK14" s="231">
        <f>+Janvier!AM14</f>
        <v>25230.129230769231</v>
      </c>
      <c r="AL14" s="231">
        <f>+Janvier!AN14</f>
        <v>15910.892307692309</v>
      </c>
      <c r="AM14" s="231">
        <f>+Janvier!AO14</f>
        <v>9470.7692307692305</v>
      </c>
      <c r="AN14" s="231">
        <f>+Janvier!AP14</f>
        <v>18941.538461538461</v>
      </c>
      <c r="AO14" s="231">
        <f>+Janvier!AQ14</f>
        <v>9470.7692307692305</v>
      </c>
      <c r="AP14" s="231">
        <f>+Janvier!AR14</f>
        <v>9470.7692307692305</v>
      </c>
      <c r="AQ14" s="231">
        <f>+Janvier!AS14</f>
        <v>16836.800192307695</v>
      </c>
      <c r="AR14" s="16">
        <f>ROUND(E14/(AH14/15),0)</f>
        <v>10</v>
      </c>
      <c r="AS14" s="16">
        <f t="shared" ref="AS14" si="11">ROUND(H14/(AI14/15),0)</f>
        <v>13</v>
      </c>
      <c r="AT14" s="16">
        <f t="shared" ref="AT14" si="12">ROUND(K14/(AJ14/15),0)</f>
        <v>10</v>
      </c>
      <c r="AU14" s="16">
        <f t="shared" ref="AU14" si="13">ROUND(N14/(AK14/15),0)</f>
        <v>15</v>
      </c>
      <c r="AV14" s="16">
        <f t="shared" ref="AV14" si="14">ROUND(Q14/(AL14/15),0)</f>
        <v>12</v>
      </c>
      <c r="AW14" s="16">
        <f t="shared" ref="AW14" si="15">ROUND(T14/(AM14/15),0)</f>
        <v>8</v>
      </c>
      <c r="AX14" s="16">
        <f t="shared" ref="AX14" si="16">ROUND(W14/(AN14/15),0)</f>
        <v>23</v>
      </c>
      <c r="AY14" s="16">
        <f t="shared" ref="AY14" si="17">ROUND(Z14/(AO14/15),0)</f>
        <v>13</v>
      </c>
      <c r="AZ14" s="16">
        <f t="shared" ref="AZ14" si="18">ROUND(AC14/(AP14/15),0)</f>
        <v>6</v>
      </c>
      <c r="BA14" s="17">
        <f t="shared" ref="BA14" si="19">ROUND(AF14/(AQ14/15),0)</f>
        <v>11</v>
      </c>
    </row>
    <row r="15" spans="1:53" x14ac:dyDescent="0.3">
      <c r="A15" s="120" t="s">
        <v>57</v>
      </c>
      <c r="B15" s="127">
        <v>43862</v>
      </c>
      <c r="C15" s="127">
        <v>43890</v>
      </c>
      <c r="D15" s="128">
        <v>220</v>
      </c>
      <c r="E15" s="129">
        <v>60</v>
      </c>
      <c r="F15" s="169">
        <v>0</v>
      </c>
      <c r="G15" s="170">
        <v>240</v>
      </c>
      <c r="H15" s="171">
        <v>0</v>
      </c>
      <c r="I15" s="172">
        <v>0</v>
      </c>
      <c r="J15" s="130">
        <v>1000</v>
      </c>
      <c r="K15" s="129">
        <v>430</v>
      </c>
      <c r="L15" s="128">
        <v>0</v>
      </c>
      <c r="M15" s="130">
        <v>600</v>
      </c>
      <c r="N15" s="129">
        <v>68</v>
      </c>
      <c r="O15" s="128">
        <v>0</v>
      </c>
      <c r="P15" s="130">
        <v>500</v>
      </c>
      <c r="Q15" s="129">
        <v>77</v>
      </c>
      <c r="R15" s="128">
        <v>0</v>
      </c>
      <c r="S15" s="130">
        <v>300</v>
      </c>
      <c r="T15" s="129">
        <v>70</v>
      </c>
      <c r="U15" s="128">
        <v>0</v>
      </c>
      <c r="V15" s="130">
        <v>500</v>
      </c>
      <c r="W15" s="129">
        <v>190</v>
      </c>
      <c r="X15" s="128">
        <v>0</v>
      </c>
      <c r="Y15" s="130">
        <v>400</v>
      </c>
      <c r="Z15" s="129">
        <v>40</v>
      </c>
      <c r="AA15" s="128">
        <v>0</v>
      </c>
      <c r="AB15" s="130">
        <v>510</v>
      </c>
      <c r="AC15" s="129">
        <v>210</v>
      </c>
      <c r="AD15" s="128">
        <v>0</v>
      </c>
      <c r="AE15" s="130">
        <v>500</v>
      </c>
      <c r="AF15" s="129">
        <v>320</v>
      </c>
      <c r="AG15" s="224">
        <v>0</v>
      </c>
      <c r="AH15" s="231">
        <f>+Janvier!AJ15</f>
        <v>567.93956043956052</v>
      </c>
      <c r="AI15" s="231">
        <f>+Janvier!AK15</f>
        <v>1766.9230769230774</v>
      </c>
      <c r="AJ15" s="231">
        <f>+Janvier!AL15</f>
        <v>1325.1923076923076</v>
      </c>
      <c r="AK15" s="231">
        <f>+Janvier!AM15</f>
        <v>1325.1923076923076</v>
      </c>
      <c r="AL15" s="231">
        <f>+Janvier!AN15</f>
        <v>803.14685314685323</v>
      </c>
      <c r="AM15" s="231">
        <f>+Janvier!AO15</f>
        <v>496.94711538461542</v>
      </c>
      <c r="AN15" s="231">
        <f>+Janvier!AP15</f>
        <v>993.89423076923083</v>
      </c>
      <c r="AO15" s="231">
        <f>+Janvier!AQ15</f>
        <v>496.94711538461542</v>
      </c>
      <c r="AP15" s="231">
        <f>+Janvier!AR15</f>
        <v>496.94711538461542</v>
      </c>
      <c r="AQ15" s="231">
        <f>+Janvier!AS15</f>
        <v>883.46153846153868</v>
      </c>
      <c r="AR15" s="16">
        <f t="shared" ref="AR15:AR20" si="20">ROUND(E15/(AH15/5),0)</f>
        <v>1</v>
      </c>
      <c r="AS15" s="16">
        <f t="shared" ref="AS15:AS20" si="21">ROUND(H15/(AI15/5),0)</f>
        <v>0</v>
      </c>
      <c r="AT15" s="16">
        <f t="shared" ref="AT15:AT20" si="22">ROUND(K15/(AJ15/5),0)</f>
        <v>2</v>
      </c>
      <c r="AU15" s="16">
        <f t="shared" ref="AU15:AU20" si="23">ROUND(N15/(AK15/5),0)</f>
        <v>0</v>
      </c>
      <c r="AV15" s="16">
        <f t="shared" ref="AV15:AV20" si="24">ROUND(Q15/(AL15/5),0)</f>
        <v>0</v>
      </c>
      <c r="AW15" s="16">
        <f t="shared" ref="AW15:AW20" si="25">ROUND(T15/(AM15/5),0)</f>
        <v>1</v>
      </c>
      <c r="AX15" s="16">
        <f t="shared" ref="AX15:AX20" si="26">ROUND(W15/(AN15/5),0)</f>
        <v>1</v>
      </c>
      <c r="AY15" s="16">
        <f t="shared" ref="AY15:AY20" si="27">ROUND(Z15/(AO15/5),0)</f>
        <v>0</v>
      </c>
      <c r="AZ15" s="16">
        <f t="shared" ref="AZ15:AZ20" si="28">ROUND(AC15/(AP15/5),0)</f>
        <v>2</v>
      </c>
      <c r="BA15" s="17">
        <f t="shared" ref="BA15:BA20" si="29">ROUND(AF15/(AQ15/5),0)</f>
        <v>2</v>
      </c>
    </row>
    <row r="16" spans="1:53" x14ac:dyDescent="0.3">
      <c r="A16" s="120" t="s">
        <v>58</v>
      </c>
      <c r="B16" s="127">
        <v>43862</v>
      </c>
      <c r="C16" s="127">
        <v>43890</v>
      </c>
      <c r="D16" s="128">
        <v>0</v>
      </c>
      <c r="E16" s="129">
        <v>0</v>
      </c>
      <c r="F16" s="169">
        <v>19</v>
      </c>
      <c r="G16" s="170">
        <v>0</v>
      </c>
      <c r="H16" s="171">
        <v>0</v>
      </c>
      <c r="I16" s="172">
        <v>19</v>
      </c>
      <c r="J16" s="130">
        <v>0</v>
      </c>
      <c r="K16" s="129">
        <v>0</v>
      </c>
      <c r="L16" s="131">
        <v>1</v>
      </c>
      <c r="M16" s="130">
        <v>0</v>
      </c>
      <c r="N16" s="129">
        <v>100</v>
      </c>
      <c r="O16" s="128">
        <v>0</v>
      </c>
      <c r="P16" s="130">
        <v>0</v>
      </c>
      <c r="Q16" s="129">
        <v>50</v>
      </c>
      <c r="R16" s="128">
        <v>0</v>
      </c>
      <c r="S16" s="130">
        <v>0</v>
      </c>
      <c r="T16" s="129">
        <v>240</v>
      </c>
      <c r="U16" s="128">
        <v>0</v>
      </c>
      <c r="V16" s="130">
        <v>0</v>
      </c>
      <c r="W16" s="129">
        <v>1000</v>
      </c>
      <c r="X16" s="128">
        <v>0</v>
      </c>
      <c r="Y16" s="130">
        <v>0</v>
      </c>
      <c r="Z16" s="129">
        <v>280</v>
      </c>
      <c r="AA16" s="128">
        <v>0</v>
      </c>
      <c r="AB16" s="130">
        <v>0</v>
      </c>
      <c r="AC16" s="129">
        <v>210</v>
      </c>
      <c r="AD16" s="128">
        <v>0</v>
      </c>
      <c r="AE16" s="130">
        <v>0</v>
      </c>
      <c r="AF16" s="129">
        <v>1030</v>
      </c>
      <c r="AG16" s="224">
        <v>0</v>
      </c>
      <c r="AH16" s="231">
        <f>+Janvier!AJ16</f>
        <v>952.54120879120887</v>
      </c>
      <c r="AI16" s="231">
        <f>+Janvier!AK16</f>
        <v>2963.4615384615386</v>
      </c>
      <c r="AJ16" s="231">
        <f>+Janvier!AL16</f>
        <v>2222.5961538461538</v>
      </c>
      <c r="AK16" s="231">
        <f>+Janvier!AM16</f>
        <v>2222.5961538461538</v>
      </c>
      <c r="AL16" s="231">
        <f>+Janvier!AN16</f>
        <v>1347.0279720279721</v>
      </c>
      <c r="AM16" s="231">
        <f>+Janvier!AO16</f>
        <v>833.47355769230774</v>
      </c>
      <c r="AN16" s="231">
        <f>+Janvier!AP16</f>
        <v>1666.9471153846155</v>
      </c>
      <c r="AO16" s="231">
        <f>+Janvier!AQ16</f>
        <v>833.47355769230774</v>
      </c>
      <c r="AP16" s="231">
        <f>+Janvier!AR16</f>
        <v>833.47355769230774</v>
      </c>
      <c r="AQ16" s="231">
        <f>+Janvier!AS16</f>
        <v>1481.7307692307693</v>
      </c>
      <c r="AR16" s="16">
        <f t="shared" si="20"/>
        <v>0</v>
      </c>
      <c r="AS16" s="16">
        <f t="shared" si="21"/>
        <v>0</v>
      </c>
      <c r="AT16" s="16">
        <f t="shared" si="22"/>
        <v>0</v>
      </c>
      <c r="AU16" s="16">
        <f t="shared" si="23"/>
        <v>0</v>
      </c>
      <c r="AV16" s="16">
        <f t="shared" si="24"/>
        <v>0</v>
      </c>
      <c r="AW16" s="16">
        <f t="shared" si="25"/>
        <v>1</v>
      </c>
      <c r="AX16" s="16">
        <f t="shared" si="26"/>
        <v>3</v>
      </c>
      <c r="AY16" s="16">
        <f t="shared" si="27"/>
        <v>2</v>
      </c>
      <c r="AZ16" s="16">
        <f t="shared" si="28"/>
        <v>1</v>
      </c>
      <c r="BA16" s="17">
        <f t="shared" si="29"/>
        <v>3</v>
      </c>
    </row>
    <row r="17" spans="1:53" x14ac:dyDescent="0.3">
      <c r="A17" s="120" t="s">
        <v>59</v>
      </c>
      <c r="B17" s="127">
        <v>43862</v>
      </c>
      <c r="C17" s="127">
        <v>43890</v>
      </c>
      <c r="D17" s="128">
        <v>0</v>
      </c>
      <c r="E17" s="129">
        <v>0</v>
      </c>
      <c r="F17" s="169">
        <v>8</v>
      </c>
      <c r="G17" s="170">
        <v>0</v>
      </c>
      <c r="H17" s="171">
        <v>320</v>
      </c>
      <c r="I17" s="172">
        <v>0</v>
      </c>
      <c r="J17" s="130">
        <v>0</v>
      </c>
      <c r="K17" s="129">
        <v>110</v>
      </c>
      <c r="L17" s="128">
        <v>0</v>
      </c>
      <c r="M17" s="130">
        <v>0</v>
      </c>
      <c r="N17" s="129">
        <v>80</v>
      </c>
      <c r="O17" s="128">
        <v>0</v>
      </c>
      <c r="P17" s="130">
        <v>0</v>
      </c>
      <c r="Q17" s="129">
        <v>100</v>
      </c>
      <c r="R17" s="128">
        <v>0</v>
      </c>
      <c r="S17" s="130">
        <v>0</v>
      </c>
      <c r="T17" s="129">
        <v>110</v>
      </c>
      <c r="U17" s="128">
        <v>0</v>
      </c>
      <c r="V17" s="130">
        <v>0</v>
      </c>
      <c r="W17" s="129">
        <v>410</v>
      </c>
      <c r="X17" s="128">
        <v>0</v>
      </c>
      <c r="Y17" s="130">
        <v>0</v>
      </c>
      <c r="Z17" s="129">
        <v>10</v>
      </c>
      <c r="AA17" s="128">
        <v>0</v>
      </c>
      <c r="AB17" s="130">
        <v>0</v>
      </c>
      <c r="AC17" s="129">
        <v>70</v>
      </c>
      <c r="AD17" s="128">
        <v>0</v>
      </c>
      <c r="AE17" s="130">
        <v>0</v>
      </c>
      <c r="AF17" s="129">
        <v>480</v>
      </c>
      <c r="AG17" s="224">
        <v>0</v>
      </c>
      <c r="AH17" s="231">
        <f>+Janvier!AJ17</f>
        <v>506.86813186813191</v>
      </c>
      <c r="AI17" s="231">
        <f>+Janvier!AK17</f>
        <v>1576.9230769230767</v>
      </c>
      <c r="AJ17" s="231">
        <f>+Janvier!AL17</f>
        <v>1182.6923076923076</v>
      </c>
      <c r="AK17" s="231">
        <f>+Janvier!AM17</f>
        <v>1182.6923076923076</v>
      </c>
      <c r="AL17" s="231">
        <f>+Janvier!AN17</f>
        <v>716.78321678321686</v>
      </c>
      <c r="AM17" s="231">
        <f>+Janvier!AO17</f>
        <v>443.50961538461542</v>
      </c>
      <c r="AN17" s="231">
        <f>+Janvier!AP17</f>
        <v>887.01923076923083</v>
      </c>
      <c r="AO17" s="231">
        <f>+Janvier!AQ17</f>
        <v>443.50961538461542</v>
      </c>
      <c r="AP17" s="231">
        <f>+Janvier!AR17</f>
        <v>443.50961538461542</v>
      </c>
      <c r="AQ17" s="231">
        <f>+Janvier!AS17</f>
        <v>788.46153846153834</v>
      </c>
      <c r="AR17" s="16">
        <f t="shared" si="20"/>
        <v>0</v>
      </c>
      <c r="AS17" s="16">
        <f t="shared" si="21"/>
        <v>1</v>
      </c>
      <c r="AT17" s="16">
        <f t="shared" si="22"/>
        <v>0</v>
      </c>
      <c r="AU17" s="16">
        <f t="shared" si="23"/>
        <v>0</v>
      </c>
      <c r="AV17" s="16">
        <f t="shared" si="24"/>
        <v>1</v>
      </c>
      <c r="AW17" s="16">
        <f t="shared" si="25"/>
        <v>1</v>
      </c>
      <c r="AX17" s="16">
        <f t="shared" si="26"/>
        <v>2</v>
      </c>
      <c r="AY17" s="16">
        <f t="shared" si="27"/>
        <v>0</v>
      </c>
      <c r="AZ17" s="16">
        <f t="shared" si="28"/>
        <v>1</v>
      </c>
      <c r="BA17" s="17">
        <f t="shared" si="29"/>
        <v>3</v>
      </c>
    </row>
    <row r="18" spans="1:53" x14ac:dyDescent="0.3">
      <c r="A18" s="120" t="s">
        <v>60</v>
      </c>
      <c r="B18" s="127">
        <v>43862</v>
      </c>
      <c r="C18" s="127">
        <v>43890</v>
      </c>
      <c r="D18" s="128">
        <v>0</v>
      </c>
      <c r="E18" s="129">
        <v>0</v>
      </c>
      <c r="F18" s="169">
        <v>17</v>
      </c>
      <c r="G18" s="170">
        <v>0</v>
      </c>
      <c r="H18" s="171">
        <v>0</v>
      </c>
      <c r="I18" s="172">
        <v>5</v>
      </c>
      <c r="J18" s="130">
        <v>0</v>
      </c>
      <c r="K18" s="129">
        <v>0</v>
      </c>
      <c r="L18" s="131">
        <v>5</v>
      </c>
      <c r="M18" s="130">
        <v>0</v>
      </c>
      <c r="N18" s="129">
        <v>0</v>
      </c>
      <c r="O18" s="131">
        <v>5</v>
      </c>
      <c r="P18" s="130">
        <v>0</v>
      </c>
      <c r="Q18" s="129">
        <v>176</v>
      </c>
      <c r="R18" s="128">
        <v>0</v>
      </c>
      <c r="S18" s="130">
        <v>0</v>
      </c>
      <c r="T18" s="129">
        <v>130</v>
      </c>
      <c r="U18" s="128">
        <v>0</v>
      </c>
      <c r="V18" s="130">
        <v>0</v>
      </c>
      <c r="W18" s="129">
        <v>1660</v>
      </c>
      <c r="X18" s="128">
        <v>0</v>
      </c>
      <c r="Y18" s="130">
        <v>0</v>
      </c>
      <c r="Z18" s="129">
        <v>240</v>
      </c>
      <c r="AA18" s="128">
        <v>0</v>
      </c>
      <c r="AB18" s="130">
        <v>0</v>
      </c>
      <c r="AC18" s="129">
        <v>310</v>
      </c>
      <c r="AD18" s="128">
        <v>0</v>
      </c>
      <c r="AE18" s="130">
        <v>0</v>
      </c>
      <c r="AF18" s="129">
        <v>560</v>
      </c>
      <c r="AG18" s="224">
        <v>0</v>
      </c>
      <c r="AH18" s="231">
        <f>+Janvier!AJ18</f>
        <v>785.76923076923083</v>
      </c>
      <c r="AI18" s="231">
        <f>+Janvier!AK18</f>
        <v>2444.6153846153852</v>
      </c>
      <c r="AJ18" s="231">
        <f>+Janvier!AL18</f>
        <v>1833.4615384615383</v>
      </c>
      <c r="AK18" s="231">
        <f>+Janvier!AM18</f>
        <v>1833.4615384615383</v>
      </c>
      <c r="AL18" s="231">
        <f>+Janvier!AN18</f>
        <v>1111.1888111888113</v>
      </c>
      <c r="AM18" s="231">
        <f>+Janvier!AO18</f>
        <v>687.54807692307713</v>
      </c>
      <c r="AN18" s="231">
        <f>+Janvier!AP18</f>
        <v>1375.0961538461543</v>
      </c>
      <c r="AO18" s="231">
        <f>+Janvier!AQ18</f>
        <v>687.54807692307713</v>
      </c>
      <c r="AP18" s="231">
        <f>+Janvier!AR18</f>
        <v>687.54807692307713</v>
      </c>
      <c r="AQ18" s="231">
        <f>+Janvier!AS18</f>
        <v>1222.3076923076926</v>
      </c>
      <c r="AR18" s="16">
        <f t="shared" si="20"/>
        <v>0</v>
      </c>
      <c r="AS18" s="16">
        <f t="shared" si="21"/>
        <v>0</v>
      </c>
      <c r="AT18" s="16">
        <f t="shared" si="22"/>
        <v>0</v>
      </c>
      <c r="AU18" s="16">
        <f t="shared" si="23"/>
        <v>0</v>
      </c>
      <c r="AV18" s="16">
        <f t="shared" si="24"/>
        <v>1</v>
      </c>
      <c r="AW18" s="16">
        <f t="shared" si="25"/>
        <v>1</v>
      </c>
      <c r="AX18" s="16">
        <f t="shared" si="26"/>
        <v>6</v>
      </c>
      <c r="AY18" s="16">
        <f t="shared" si="27"/>
        <v>2</v>
      </c>
      <c r="AZ18" s="16">
        <f t="shared" si="28"/>
        <v>2</v>
      </c>
      <c r="BA18" s="17">
        <f t="shared" si="29"/>
        <v>2</v>
      </c>
    </row>
    <row r="19" spans="1:53" x14ac:dyDescent="0.3">
      <c r="A19" s="120" t="s">
        <v>61</v>
      </c>
      <c r="B19" s="127">
        <v>43862</v>
      </c>
      <c r="C19" s="127">
        <v>43890</v>
      </c>
      <c r="D19" s="132">
        <v>300</v>
      </c>
      <c r="E19" s="133">
        <v>100</v>
      </c>
      <c r="F19" s="173">
        <v>0</v>
      </c>
      <c r="G19" s="174">
        <v>1000</v>
      </c>
      <c r="H19" s="175">
        <v>300</v>
      </c>
      <c r="I19" s="176">
        <v>0</v>
      </c>
      <c r="J19" s="134">
        <v>700</v>
      </c>
      <c r="K19" s="133">
        <v>300</v>
      </c>
      <c r="L19" s="132">
        <v>0</v>
      </c>
      <c r="M19" s="134">
        <v>700</v>
      </c>
      <c r="N19" s="133">
        <v>160</v>
      </c>
      <c r="O19" s="132">
        <v>0</v>
      </c>
      <c r="P19" s="134">
        <v>450</v>
      </c>
      <c r="Q19" s="133">
        <v>150</v>
      </c>
      <c r="R19" s="132">
        <v>0</v>
      </c>
      <c r="S19" s="134">
        <v>230</v>
      </c>
      <c r="T19" s="133">
        <v>200</v>
      </c>
      <c r="U19" s="132">
        <v>0</v>
      </c>
      <c r="V19" s="134">
        <v>550</v>
      </c>
      <c r="W19" s="133">
        <v>360</v>
      </c>
      <c r="X19" s="132">
        <v>0</v>
      </c>
      <c r="Y19" s="134">
        <v>280</v>
      </c>
      <c r="Z19" s="133">
        <v>350</v>
      </c>
      <c r="AA19" s="132">
        <v>0</v>
      </c>
      <c r="AB19" s="134">
        <v>280</v>
      </c>
      <c r="AC19" s="133">
        <v>310</v>
      </c>
      <c r="AD19" s="132">
        <v>0</v>
      </c>
      <c r="AE19" s="134">
        <v>490</v>
      </c>
      <c r="AF19" s="133">
        <v>900</v>
      </c>
      <c r="AG19" s="225">
        <v>0</v>
      </c>
      <c r="AH19" s="231">
        <f>+Janvier!AJ19</f>
        <v>309.43681318681325</v>
      </c>
      <c r="AI19" s="231">
        <f>+Janvier!AK19</f>
        <v>962.69230769230785</v>
      </c>
      <c r="AJ19" s="231">
        <f>+Janvier!AL19</f>
        <v>722.01923076923083</v>
      </c>
      <c r="AK19" s="231">
        <f>+Janvier!AM19</f>
        <v>722.01923076923083</v>
      </c>
      <c r="AL19" s="231">
        <f>+Janvier!AN19</f>
        <v>437.5874125874127</v>
      </c>
      <c r="AM19" s="231">
        <f>+Janvier!AO19</f>
        <v>270.75721153846155</v>
      </c>
      <c r="AN19" s="231">
        <f>+Janvier!AP19</f>
        <v>541.51442307692309</v>
      </c>
      <c r="AO19" s="231">
        <f>+Janvier!AQ19</f>
        <v>270.75721153846155</v>
      </c>
      <c r="AP19" s="231">
        <f>+Janvier!AR19</f>
        <v>270.75721153846155</v>
      </c>
      <c r="AQ19" s="231">
        <f>+Janvier!AS19</f>
        <v>481.34615384615392</v>
      </c>
      <c r="AR19" s="16">
        <f t="shared" si="20"/>
        <v>2</v>
      </c>
      <c r="AS19" s="16">
        <f t="shared" si="21"/>
        <v>2</v>
      </c>
      <c r="AT19" s="16">
        <f t="shared" si="22"/>
        <v>2</v>
      </c>
      <c r="AU19" s="16">
        <f t="shared" si="23"/>
        <v>1</v>
      </c>
      <c r="AV19" s="16">
        <f t="shared" si="24"/>
        <v>2</v>
      </c>
      <c r="AW19" s="16">
        <f t="shared" si="25"/>
        <v>4</v>
      </c>
      <c r="AX19" s="16">
        <f t="shared" si="26"/>
        <v>3</v>
      </c>
      <c r="AY19" s="16">
        <f t="shared" si="27"/>
        <v>6</v>
      </c>
      <c r="AZ19" s="16">
        <f t="shared" si="28"/>
        <v>6</v>
      </c>
      <c r="BA19" s="17">
        <f t="shared" si="29"/>
        <v>9</v>
      </c>
    </row>
    <row r="20" spans="1:53" ht="15" thickBot="1" x14ac:dyDescent="0.35">
      <c r="A20" s="121" t="s">
        <v>62</v>
      </c>
      <c r="B20" s="156">
        <v>43862</v>
      </c>
      <c r="C20" s="156">
        <v>43890</v>
      </c>
      <c r="D20" s="157">
        <v>420</v>
      </c>
      <c r="E20" s="158">
        <v>40</v>
      </c>
      <c r="F20" s="177">
        <v>0</v>
      </c>
      <c r="G20" s="178">
        <v>0</v>
      </c>
      <c r="H20" s="179">
        <v>200</v>
      </c>
      <c r="I20" s="180">
        <v>0</v>
      </c>
      <c r="J20" s="159">
        <v>1000</v>
      </c>
      <c r="K20" s="158">
        <v>400</v>
      </c>
      <c r="L20" s="157">
        <v>0</v>
      </c>
      <c r="M20" s="159">
        <v>1000</v>
      </c>
      <c r="N20" s="158">
        <v>400</v>
      </c>
      <c r="O20" s="157">
        <v>0</v>
      </c>
      <c r="P20" s="159">
        <v>500</v>
      </c>
      <c r="Q20" s="158">
        <v>100</v>
      </c>
      <c r="R20" s="157">
        <v>0</v>
      </c>
      <c r="S20" s="159">
        <v>200</v>
      </c>
      <c r="T20" s="158">
        <v>120</v>
      </c>
      <c r="U20" s="157">
        <v>0</v>
      </c>
      <c r="V20" s="159">
        <v>500</v>
      </c>
      <c r="W20" s="158">
        <v>200</v>
      </c>
      <c r="X20" s="157">
        <v>0</v>
      </c>
      <c r="Y20" s="159">
        <v>500</v>
      </c>
      <c r="Z20" s="158">
        <v>300</v>
      </c>
      <c r="AA20" s="157">
        <v>0</v>
      </c>
      <c r="AB20" s="159">
        <v>500</v>
      </c>
      <c r="AC20" s="158">
        <v>200</v>
      </c>
      <c r="AD20" s="157">
        <v>0</v>
      </c>
      <c r="AE20" s="159">
        <v>500</v>
      </c>
      <c r="AF20" s="158">
        <v>200</v>
      </c>
      <c r="AG20" s="226">
        <v>0</v>
      </c>
      <c r="AH20" s="231">
        <f>+Janvier!AJ20</f>
        <v>485.2335164835165</v>
      </c>
      <c r="AI20" s="231">
        <f>+Janvier!AK20</f>
        <v>1509.6153846153845</v>
      </c>
      <c r="AJ20" s="231">
        <f>+Janvier!AL20</f>
        <v>1132.2115384615383</v>
      </c>
      <c r="AK20" s="231">
        <f>+Janvier!AM20</f>
        <v>1132.2115384615383</v>
      </c>
      <c r="AL20" s="231">
        <f>+Janvier!AN20</f>
        <v>686.1888111888112</v>
      </c>
      <c r="AM20" s="231">
        <f>+Janvier!AO20</f>
        <v>424.57932692307691</v>
      </c>
      <c r="AN20" s="231">
        <f>+Janvier!AP20</f>
        <v>849.15865384615381</v>
      </c>
      <c r="AO20" s="231">
        <f>+Janvier!AQ20</f>
        <v>424.57932692307691</v>
      </c>
      <c r="AP20" s="231">
        <f>+Janvier!AR20</f>
        <v>424.57932692307691</v>
      </c>
      <c r="AQ20" s="231">
        <f>+Janvier!AS20</f>
        <v>754.80769230769226</v>
      </c>
      <c r="AR20" s="32">
        <f t="shared" si="20"/>
        <v>0</v>
      </c>
      <c r="AS20" s="32">
        <f t="shared" si="21"/>
        <v>1</v>
      </c>
      <c r="AT20" s="32">
        <f t="shared" si="22"/>
        <v>2</v>
      </c>
      <c r="AU20" s="32">
        <f t="shared" si="23"/>
        <v>2</v>
      </c>
      <c r="AV20" s="32">
        <f t="shared" si="24"/>
        <v>1</v>
      </c>
      <c r="AW20" s="32">
        <f t="shared" si="25"/>
        <v>1</v>
      </c>
      <c r="AX20" s="32">
        <f t="shared" si="26"/>
        <v>1</v>
      </c>
      <c r="AY20" s="32">
        <f t="shared" si="27"/>
        <v>4</v>
      </c>
      <c r="AZ20" s="32">
        <f t="shared" si="28"/>
        <v>2</v>
      </c>
      <c r="BA20" s="33">
        <f t="shared" si="29"/>
        <v>1</v>
      </c>
    </row>
    <row r="21" spans="1:53" x14ac:dyDescent="0.3">
      <c r="A21" s="140" t="s">
        <v>91</v>
      </c>
      <c r="B21" s="160">
        <v>43862</v>
      </c>
      <c r="C21" s="160">
        <v>43891</v>
      </c>
      <c r="D21" s="142">
        <v>42000</v>
      </c>
      <c r="E21" s="123">
        <v>33660</v>
      </c>
      <c r="F21" s="124">
        <v>0</v>
      </c>
      <c r="G21" s="125">
        <v>102000</v>
      </c>
      <c r="H21" s="123">
        <v>118740</v>
      </c>
      <c r="I21" s="126">
        <v>0</v>
      </c>
      <c r="J21" s="125">
        <v>84500</v>
      </c>
      <c r="K21" s="123">
        <v>88020</v>
      </c>
      <c r="L21" s="124">
        <v>0</v>
      </c>
      <c r="M21" s="125">
        <v>79200</v>
      </c>
      <c r="N21" s="123">
        <v>85776</v>
      </c>
      <c r="O21" s="124">
        <v>0</v>
      </c>
      <c r="P21" s="125">
        <v>53600</v>
      </c>
      <c r="Q21" s="123">
        <v>55439</v>
      </c>
      <c r="R21" s="124">
        <v>0</v>
      </c>
      <c r="S21" s="125">
        <v>6000</v>
      </c>
      <c r="T21" s="123">
        <v>5490</v>
      </c>
      <c r="U21" s="124">
        <v>0</v>
      </c>
      <c r="V21" s="125">
        <v>48000</v>
      </c>
      <c r="W21" s="123">
        <v>77520</v>
      </c>
      <c r="X21" s="124">
        <v>0</v>
      </c>
      <c r="Y21" s="125">
        <v>21000</v>
      </c>
      <c r="Z21" s="114">
        <v>24510</v>
      </c>
      <c r="AA21" s="115">
        <v>0</v>
      </c>
      <c r="AB21" s="113">
        <v>25000</v>
      </c>
      <c r="AC21" s="123">
        <v>2760</v>
      </c>
      <c r="AD21" s="124">
        <v>0</v>
      </c>
      <c r="AE21" s="125">
        <v>39620</v>
      </c>
      <c r="AF21" s="123">
        <v>72220</v>
      </c>
      <c r="AG21" s="126">
        <v>0</v>
      </c>
      <c r="AH21" s="231">
        <f>+Janvier!AJ21</f>
        <v>46732.578750000001</v>
      </c>
      <c r="AI21" s="231">
        <f>+Janvier!AK21</f>
        <v>160746.05769230769</v>
      </c>
      <c r="AJ21" s="231">
        <f>+Janvier!AL21</f>
        <v>107056.87442307695</v>
      </c>
      <c r="AK21" s="231">
        <f>+Janvier!AM21</f>
        <v>107056.87442307695</v>
      </c>
      <c r="AL21" s="231">
        <f>+Janvier!AN21</f>
        <v>67513.344230769231</v>
      </c>
      <c r="AM21" s="231">
        <f>+Janvier!AO21</f>
        <v>40186.514423076922</v>
      </c>
      <c r="AN21" s="231">
        <f>+Janvier!AP21</f>
        <v>80373.028846153844</v>
      </c>
      <c r="AO21" s="231">
        <f>+Janvier!AQ21</f>
        <v>40186.514423076922</v>
      </c>
      <c r="AP21" s="231">
        <f>+Janvier!AR21</f>
        <v>40186.514423076922</v>
      </c>
      <c r="AQ21" s="231">
        <f>+Janvier!AS21</f>
        <v>72549.877500000002</v>
      </c>
      <c r="AR21" s="90">
        <f>ROUND(E21/(AH21/15),0)</f>
        <v>11</v>
      </c>
      <c r="AS21" s="90">
        <f t="shared" ref="AS21" si="30">ROUND(H21/(AI21/15),0)</f>
        <v>11</v>
      </c>
      <c r="AT21" s="90">
        <f t="shared" ref="AT21" si="31">ROUND(K21/(AJ21/15),0)</f>
        <v>12</v>
      </c>
      <c r="AU21" s="90">
        <f t="shared" ref="AU21" si="32">ROUND(N21/(AK21/15),0)</f>
        <v>12</v>
      </c>
      <c r="AV21" s="90">
        <f t="shared" ref="AV21" si="33">ROUND(Q21/(AL21/15),0)</f>
        <v>12</v>
      </c>
      <c r="AW21" s="90">
        <f t="shared" ref="AW21" si="34">ROUND(T21/(AM21/15),0)</f>
        <v>2</v>
      </c>
      <c r="AX21" s="90">
        <f t="shared" ref="AX21" si="35">ROUND(W21/(AN21/15),0)</f>
        <v>14</v>
      </c>
      <c r="AY21" s="90">
        <f t="shared" ref="AY21" si="36">ROUND(Z21/(AO21/15),0)</f>
        <v>9</v>
      </c>
      <c r="AZ21" s="90">
        <f t="shared" ref="AZ21" si="37">ROUND(AC21/(AP21/15),0)</f>
        <v>1</v>
      </c>
      <c r="BA21" s="91">
        <f t="shared" ref="BA21" si="38">ROUND(AF21/(AQ21/15),0)</f>
        <v>15</v>
      </c>
    </row>
    <row r="22" spans="1:53" x14ac:dyDescent="0.3">
      <c r="A22" s="120" t="s">
        <v>14</v>
      </c>
      <c r="B22" s="94">
        <v>43862</v>
      </c>
      <c r="C22" s="94">
        <v>43896</v>
      </c>
      <c r="D22" s="104">
        <v>1360</v>
      </c>
      <c r="E22" s="96">
        <f>1220+940</f>
        <v>2160</v>
      </c>
      <c r="F22" s="97">
        <v>0</v>
      </c>
      <c r="G22" s="95">
        <v>3000</v>
      </c>
      <c r="H22" s="96">
        <f>2060+4100</f>
        <v>6160</v>
      </c>
      <c r="I22" s="105">
        <v>0</v>
      </c>
      <c r="J22" s="95">
        <v>2000</v>
      </c>
      <c r="K22" s="96">
        <f>1130+3490</f>
        <v>4620</v>
      </c>
      <c r="L22" s="97">
        <v>0</v>
      </c>
      <c r="M22" s="95">
        <v>2000</v>
      </c>
      <c r="N22" s="96">
        <v>4620</v>
      </c>
      <c r="O22" s="97">
        <v>0</v>
      </c>
      <c r="P22" s="95">
        <v>1800</v>
      </c>
      <c r="Q22" s="96">
        <f>1387+1575</f>
        <v>2962</v>
      </c>
      <c r="R22" s="97">
        <v>0</v>
      </c>
      <c r="S22" s="95">
        <v>1140</v>
      </c>
      <c r="T22" s="96">
        <f>820+720</f>
        <v>1540</v>
      </c>
      <c r="U22" s="97">
        <v>0</v>
      </c>
      <c r="V22" s="95">
        <v>1600</v>
      </c>
      <c r="W22" s="96">
        <f>1950+1720</f>
        <v>3670</v>
      </c>
      <c r="X22" s="97">
        <v>0</v>
      </c>
      <c r="Y22" s="95">
        <v>1300</v>
      </c>
      <c r="Z22" s="96">
        <f>820+1020</f>
        <v>1840</v>
      </c>
      <c r="AA22" s="100">
        <v>0</v>
      </c>
      <c r="AB22" s="95">
        <v>800</v>
      </c>
      <c r="AC22" s="96">
        <f>280+1560</f>
        <v>1840</v>
      </c>
      <c r="AD22" s="97">
        <v>0</v>
      </c>
      <c r="AE22" s="95">
        <v>2000</v>
      </c>
      <c r="AF22" s="96">
        <f>2600+650</f>
        <v>3250</v>
      </c>
      <c r="AG22" s="105">
        <v>0</v>
      </c>
      <c r="AH22" s="231">
        <f>+Janvier!AJ22</f>
        <v>1770.3296703296703</v>
      </c>
      <c r="AI22" s="231">
        <f>+Janvier!AK22</f>
        <v>5507.6923076923067</v>
      </c>
      <c r="AJ22" s="231">
        <f>+Janvier!AL22</f>
        <v>4130.7692307692305</v>
      </c>
      <c r="AK22" s="231">
        <f>+Janvier!AM22</f>
        <v>4130.7692307692305</v>
      </c>
      <c r="AL22" s="231">
        <f>+Janvier!AN22</f>
        <v>2503.4965034965039</v>
      </c>
      <c r="AM22" s="231">
        <f>+Janvier!AO22</f>
        <v>1549.0384615384617</v>
      </c>
      <c r="AN22" s="231">
        <f>+Janvier!AP22</f>
        <v>3098.0769230769233</v>
      </c>
      <c r="AO22" s="231">
        <f>+Janvier!AQ22</f>
        <v>1549.0384615384617</v>
      </c>
      <c r="AP22" s="231">
        <f>+Janvier!AR22</f>
        <v>1549.0384615384617</v>
      </c>
      <c r="AQ22" s="231">
        <f>+Janvier!AS22</f>
        <v>2753.8461538461534</v>
      </c>
      <c r="AR22" s="90">
        <f t="shared" ref="AR22:AR29" si="39">ROUND(E22/(AH22/5),0)</f>
        <v>6</v>
      </c>
      <c r="AS22" s="90">
        <f t="shared" ref="AS22:AS29" si="40">ROUND(H22/(AI22/5),0)</f>
        <v>6</v>
      </c>
      <c r="AT22" s="90">
        <f t="shared" ref="AT22:AT29" si="41">ROUND(K22/(AJ22/5),0)</f>
        <v>6</v>
      </c>
      <c r="AU22" s="90">
        <f t="shared" ref="AU22:AU29" si="42">ROUND(N22/(AK22/5),0)</f>
        <v>6</v>
      </c>
      <c r="AV22" s="90">
        <f t="shared" ref="AV22:AV29" si="43">ROUND(Q22/(AL22/5),0)</f>
        <v>6</v>
      </c>
      <c r="AW22" s="90">
        <f t="shared" ref="AW22:AW29" si="44">ROUND(T22/(AM22/5),0)</f>
        <v>5</v>
      </c>
      <c r="AX22" s="90">
        <f t="shared" ref="AX22" si="45">ROUND(W22/(AN22/5),0)</f>
        <v>6</v>
      </c>
      <c r="AY22" s="90">
        <f t="shared" ref="AY22:AY29" si="46">ROUND(Z22/(AO22/5),0)</f>
        <v>6</v>
      </c>
      <c r="AZ22" s="90">
        <f t="shared" ref="AZ22:AZ29" si="47">ROUND(AC22/(AP22/5),0)</f>
        <v>6</v>
      </c>
      <c r="BA22" s="91">
        <f t="shared" ref="BA22:BA29" si="48">ROUND(AF22/(AQ22/5),0)</f>
        <v>6</v>
      </c>
    </row>
    <row r="23" spans="1:53" x14ac:dyDescent="0.3">
      <c r="A23" s="120" t="s">
        <v>15</v>
      </c>
      <c r="B23" s="94">
        <v>43862</v>
      </c>
      <c r="C23" s="94">
        <v>43896</v>
      </c>
      <c r="D23" s="104">
        <v>940</v>
      </c>
      <c r="E23" s="96">
        <v>140</v>
      </c>
      <c r="F23" s="97">
        <v>0</v>
      </c>
      <c r="G23" s="95">
        <v>2360</v>
      </c>
      <c r="H23" s="96">
        <v>1200</v>
      </c>
      <c r="I23" s="105">
        <v>0</v>
      </c>
      <c r="J23" s="95">
        <v>1660</v>
      </c>
      <c r="K23" s="96">
        <v>420</v>
      </c>
      <c r="L23" s="97">
        <v>0</v>
      </c>
      <c r="M23" s="95">
        <v>1556</v>
      </c>
      <c r="N23" s="96">
        <v>488</v>
      </c>
      <c r="O23" s="97">
        <v>0</v>
      </c>
      <c r="P23" s="95">
        <v>1050</v>
      </c>
      <c r="Q23" s="96">
        <v>293</v>
      </c>
      <c r="R23" s="97">
        <v>0</v>
      </c>
      <c r="S23" s="95">
        <v>580</v>
      </c>
      <c r="T23" s="96">
        <v>340</v>
      </c>
      <c r="U23" s="97">
        <v>0</v>
      </c>
      <c r="V23" s="95">
        <v>1210</v>
      </c>
      <c r="W23" s="96">
        <v>710</v>
      </c>
      <c r="X23" s="97">
        <v>0</v>
      </c>
      <c r="Y23" s="95">
        <v>760</v>
      </c>
      <c r="Z23" s="96">
        <v>420</v>
      </c>
      <c r="AA23" s="100">
        <v>0</v>
      </c>
      <c r="AB23" s="95">
        <v>760</v>
      </c>
      <c r="AC23" s="96">
        <f>220</f>
        <v>220</v>
      </c>
      <c r="AD23" s="97">
        <v>0</v>
      </c>
      <c r="AE23" s="95">
        <v>1030</v>
      </c>
      <c r="AF23" s="96">
        <v>460</v>
      </c>
      <c r="AG23" s="105">
        <v>0</v>
      </c>
      <c r="AH23" s="231">
        <f>+Janvier!AJ23</f>
        <v>768.21428571428578</v>
      </c>
      <c r="AI23" s="231">
        <f>+Janvier!AK23</f>
        <v>2390.0000000000005</v>
      </c>
      <c r="AJ23" s="231">
        <f>+Janvier!AL23</f>
        <v>1792.5000000000002</v>
      </c>
      <c r="AK23" s="231">
        <f>+Janvier!AM23</f>
        <v>1792.5000000000002</v>
      </c>
      <c r="AL23" s="231">
        <f>+Janvier!AN23</f>
        <v>1086.3636363636365</v>
      </c>
      <c r="AM23" s="231">
        <f>+Janvier!AO23</f>
        <v>672.1875</v>
      </c>
      <c r="AN23" s="231">
        <f>+Janvier!AP23</f>
        <v>1344.375</v>
      </c>
      <c r="AO23" s="231">
        <f>+Janvier!AQ23</f>
        <v>672.1875</v>
      </c>
      <c r="AP23" s="231">
        <f>+Janvier!AR23</f>
        <v>672.1875</v>
      </c>
      <c r="AQ23" s="231">
        <f>+Janvier!AS23</f>
        <v>1195.0000000000002</v>
      </c>
      <c r="AR23" s="90">
        <f t="shared" si="39"/>
        <v>1</v>
      </c>
      <c r="AS23" s="90">
        <f t="shared" si="40"/>
        <v>3</v>
      </c>
      <c r="AT23" s="90">
        <f t="shared" si="41"/>
        <v>1</v>
      </c>
      <c r="AU23" s="90">
        <f t="shared" si="42"/>
        <v>1</v>
      </c>
      <c r="AV23" s="90">
        <f t="shared" si="43"/>
        <v>1</v>
      </c>
      <c r="AW23" s="90">
        <f t="shared" si="44"/>
        <v>3</v>
      </c>
      <c r="AX23" s="90">
        <f>ROUND(W23/(AN23/5),0)</f>
        <v>3</v>
      </c>
      <c r="AY23" s="90">
        <f t="shared" si="46"/>
        <v>3</v>
      </c>
      <c r="AZ23" s="90">
        <f t="shared" si="47"/>
        <v>2</v>
      </c>
      <c r="BA23" s="91">
        <f t="shared" si="48"/>
        <v>2</v>
      </c>
    </row>
    <row r="24" spans="1:53" ht="14.25" customHeight="1" x14ac:dyDescent="0.3">
      <c r="A24" s="120" t="s">
        <v>16</v>
      </c>
      <c r="B24" s="94">
        <v>43862</v>
      </c>
      <c r="C24" s="94">
        <v>43896</v>
      </c>
      <c r="D24" s="104">
        <v>2540</v>
      </c>
      <c r="E24" s="96">
        <v>380</v>
      </c>
      <c r="F24" s="97">
        <v>0</v>
      </c>
      <c r="G24" s="95">
        <v>5940</v>
      </c>
      <c r="H24" s="96">
        <v>940</v>
      </c>
      <c r="I24" s="105">
        <v>0</v>
      </c>
      <c r="J24" s="95">
        <v>6310</v>
      </c>
      <c r="K24" s="96">
        <v>2330</v>
      </c>
      <c r="L24" s="97">
        <v>0</v>
      </c>
      <c r="M24" s="95">
        <v>4912</v>
      </c>
      <c r="N24" s="96">
        <v>1026</v>
      </c>
      <c r="O24" s="97">
        <v>0</v>
      </c>
      <c r="P24" s="95">
        <v>3468</v>
      </c>
      <c r="Q24" s="96">
        <v>552</v>
      </c>
      <c r="R24" s="97">
        <v>0</v>
      </c>
      <c r="S24" s="95">
        <v>1360</v>
      </c>
      <c r="T24" s="96">
        <v>970</v>
      </c>
      <c r="U24" s="97">
        <v>0</v>
      </c>
      <c r="V24" s="95">
        <v>3220</v>
      </c>
      <c r="W24" s="96">
        <v>1930</v>
      </c>
      <c r="X24" s="97">
        <v>0</v>
      </c>
      <c r="Y24" s="95">
        <v>420</v>
      </c>
      <c r="Z24" s="96">
        <v>510</v>
      </c>
      <c r="AA24" s="100">
        <v>0</v>
      </c>
      <c r="AB24" s="95">
        <v>3420</v>
      </c>
      <c r="AC24" s="96">
        <v>1720</v>
      </c>
      <c r="AD24" s="97">
        <v>0</v>
      </c>
      <c r="AE24" s="95">
        <v>2180</v>
      </c>
      <c r="AF24" s="96">
        <v>1720</v>
      </c>
      <c r="AG24" s="105">
        <v>0</v>
      </c>
      <c r="AH24" s="231">
        <f>+Janvier!AJ24</f>
        <v>3452.1428571428573</v>
      </c>
      <c r="AI24" s="231">
        <f>+Janvier!AK24</f>
        <v>10740.000000000002</v>
      </c>
      <c r="AJ24" s="231">
        <f>+Janvier!AL24</f>
        <v>8055</v>
      </c>
      <c r="AK24" s="231">
        <f>+Janvier!AM24</f>
        <v>8055</v>
      </c>
      <c r="AL24" s="231">
        <f>+Janvier!AN24</f>
        <v>4881.818181818182</v>
      </c>
      <c r="AM24" s="231">
        <f>+Janvier!AO24</f>
        <v>3020.6250000000005</v>
      </c>
      <c r="AN24" s="231">
        <f>+Janvier!AP24</f>
        <v>6041.2500000000009</v>
      </c>
      <c r="AO24" s="231">
        <f>+Janvier!AQ24</f>
        <v>3020.6250000000005</v>
      </c>
      <c r="AP24" s="231">
        <f>+Janvier!AR24</f>
        <v>3020.6250000000005</v>
      </c>
      <c r="AQ24" s="231">
        <f>+Janvier!AS24</f>
        <v>5370.0000000000009</v>
      </c>
      <c r="AR24" s="90">
        <f t="shared" si="39"/>
        <v>1</v>
      </c>
      <c r="AS24" s="90">
        <f t="shared" si="40"/>
        <v>0</v>
      </c>
      <c r="AT24" s="90">
        <f t="shared" si="41"/>
        <v>1</v>
      </c>
      <c r="AU24" s="90">
        <f t="shared" si="42"/>
        <v>1</v>
      </c>
      <c r="AV24" s="90">
        <f t="shared" si="43"/>
        <v>1</v>
      </c>
      <c r="AW24" s="90">
        <f>ROUND(T24/(AM24/5),0)</f>
        <v>2</v>
      </c>
      <c r="AX24" s="90">
        <f t="shared" ref="AX24:AX29" si="49">ROUND(W24/(AN24/5),0)</f>
        <v>2</v>
      </c>
      <c r="AY24" s="90">
        <f t="shared" si="46"/>
        <v>1</v>
      </c>
      <c r="AZ24" s="90">
        <f t="shared" si="47"/>
        <v>3</v>
      </c>
      <c r="BA24" s="91">
        <f t="shared" si="48"/>
        <v>2</v>
      </c>
    </row>
    <row r="25" spans="1:53" ht="14.25" customHeight="1" x14ac:dyDescent="0.3">
      <c r="A25" s="120" t="s">
        <v>17</v>
      </c>
      <c r="B25" s="94">
        <v>43862</v>
      </c>
      <c r="C25" s="94">
        <v>43896</v>
      </c>
      <c r="D25" s="104">
        <v>2280</v>
      </c>
      <c r="E25" s="96">
        <v>4260</v>
      </c>
      <c r="F25" s="97">
        <v>0</v>
      </c>
      <c r="G25" s="95">
        <v>8620</v>
      </c>
      <c r="H25" s="96">
        <v>11600</v>
      </c>
      <c r="I25" s="105">
        <v>0</v>
      </c>
      <c r="J25" s="95">
        <v>7190</v>
      </c>
      <c r="K25" s="96">
        <v>8790</v>
      </c>
      <c r="L25" s="97">
        <v>0</v>
      </c>
      <c r="M25" s="95">
        <v>8544</v>
      </c>
      <c r="N25" s="96">
        <v>8824</v>
      </c>
      <c r="O25" s="97">
        <v>0</v>
      </c>
      <c r="P25" s="95">
        <v>4340</v>
      </c>
      <c r="Q25" s="96">
        <v>5186</v>
      </c>
      <c r="R25" s="97">
        <v>0</v>
      </c>
      <c r="S25" s="95">
        <v>2610</v>
      </c>
      <c r="T25" s="96">
        <v>2980</v>
      </c>
      <c r="U25" s="97">
        <v>0</v>
      </c>
      <c r="V25" s="95">
        <v>4460</v>
      </c>
      <c r="W25" s="96">
        <v>6930</v>
      </c>
      <c r="X25" s="97">
        <v>0</v>
      </c>
      <c r="Y25" s="95">
        <v>2760</v>
      </c>
      <c r="Z25" s="96">
        <v>3430</v>
      </c>
      <c r="AA25" s="100">
        <v>0</v>
      </c>
      <c r="AB25" s="95">
        <v>1800</v>
      </c>
      <c r="AC25" s="96">
        <v>3160</v>
      </c>
      <c r="AD25" s="97">
        <v>0</v>
      </c>
      <c r="AE25" s="95">
        <v>6160</v>
      </c>
      <c r="AF25" s="96">
        <v>7220</v>
      </c>
      <c r="AG25" s="105">
        <v>0</v>
      </c>
      <c r="AH25" s="231">
        <f>+Janvier!AJ25</f>
        <v>3638.3241758241757</v>
      </c>
      <c r="AI25" s="231">
        <f>+Janvier!AK25</f>
        <v>11319.23076923077</v>
      </c>
      <c r="AJ25" s="231">
        <f>+Janvier!AL25</f>
        <v>8489.423076923078</v>
      </c>
      <c r="AK25" s="231">
        <f>+Janvier!AM25</f>
        <v>8489.423076923078</v>
      </c>
      <c r="AL25" s="231">
        <f>+Janvier!AN25</f>
        <v>5145.1048951048951</v>
      </c>
      <c r="AM25" s="231">
        <f>+Janvier!AO25</f>
        <v>3183.5336538461534</v>
      </c>
      <c r="AN25" s="231">
        <f>+Janvier!AP25</f>
        <v>6367.0673076923067</v>
      </c>
      <c r="AO25" s="231">
        <f>+Janvier!AQ25</f>
        <v>3183.5336538461534</v>
      </c>
      <c r="AP25" s="231">
        <f>+Janvier!AR25</f>
        <v>3183.5336538461534</v>
      </c>
      <c r="AQ25" s="231">
        <f>+Janvier!AS25</f>
        <v>5659.6153846153848</v>
      </c>
      <c r="AR25" s="90">
        <f t="shared" si="39"/>
        <v>6</v>
      </c>
      <c r="AS25" s="90">
        <f t="shared" si="40"/>
        <v>5</v>
      </c>
      <c r="AT25" s="90">
        <f t="shared" si="41"/>
        <v>5</v>
      </c>
      <c r="AU25" s="90">
        <f t="shared" si="42"/>
        <v>5</v>
      </c>
      <c r="AV25" s="90">
        <f>ROUND(Q25/(AL25/5),0)</f>
        <v>5</v>
      </c>
      <c r="AW25" s="90">
        <f t="shared" si="44"/>
        <v>5</v>
      </c>
      <c r="AX25" s="90">
        <f t="shared" si="49"/>
        <v>5</v>
      </c>
      <c r="AY25" s="90">
        <f t="shared" si="46"/>
        <v>5</v>
      </c>
      <c r="AZ25" s="90">
        <f t="shared" si="47"/>
        <v>5</v>
      </c>
      <c r="BA25" s="91">
        <f t="shared" si="48"/>
        <v>6</v>
      </c>
    </row>
    <row r="26" spans="1:53" ht="14.25" customHeight="1" x14ac:dyDescent="0.3">
      <c r="A26" s="120" t="s">
        <v>18</v>
      </c>
      <c r="B26" s="94">
        <v>43862</v>
      </c>
      <c r="C26" s="94">
        <v>43896</v>
      </c>
      <c r="D26" s="104">
        <v>1040</v>
      </c>
      <c r="E26" s="96">
        <v>920</v>
      </c>
      <c r="F26" s="97">
        <v>0</v>
      </c>
      <c r="G26" s="95">
        <v>1900</v>
      </c>
      <c r="H26" s="96">
        <v>2460</v>
      </c>
      <c r="I26" s="105">
        <v>0</v>
      </c>
      <c r="J26" s="95">
        <v>1400</v>
      </c>
      <c r="K26" s="96">
        <v>1840</v>
      </c>
      <c r="L26" s="97">
        <v>0</v>
      </c>
      <c r="M26" s="95">
        <v>1456</v>
      </c>
      <c r="N26" s="96">
        <v>488</v>
      </c>
      <c r="O26" s="97">
        <v>0</v>
      </c>
      <c r="P26" s="95">
        <v>1014</v>
      </c>
      <c r="Q26" s="96">
        <v>1250</v>
      </c>
      <c r="R26" s="97">
        <v>0</v>
      </c>
      <c r="S26" s="95">
        <v>610</v>
      </c>
      <c r="T26" s="96">
        <v>640</v>
      </c>
      <c r="U26" s="97">
        <v>0</v>
      </c>
      <c r="V26" s="95">
        <v>480</v>
      </c>
      <c r="W26" s="96">
        <v>1250</v>
      </c>
      <c r="X26" s="97">
        <v>0</v>
      </c>
      <c r="Y26" s="95">
        <v>560</v>
      </c>
      <c r="Z26" s="96">
        <v>120</v>
      </c>
      <c r="AA26" s="100">
        <v>0</v>
      </c>
      <c r="AB26" s="95">
        <v>520</v>
      </c>
      <c r="AC26" s="96">
        <v>670</v>
      </c>
      <c r="AD26" s="97">
        <v>0</v>
      </c>
      <c r="AE26" s="95">
        <v>1240</v>
      </c>
      <c r="AF26" s="96">
        <v>1540</v>
      </c>
      <c r="AG26" s="105">
        <v>0</v>
      </c>
      <c r="AH26" s="231">
        <f>+Janvier!AJ26</f>
        <v>723.70879120879124</v>
      </c>
      <c r="AI26" s="231">
        <f>+Janvier!AK26</f>
        <v>2251.5384615384619</v>
      </c>
      <c r="AJ26" s="231">
        <f>+Janvier!AL26</f>
        <v>1688.6538461538464</v>
      </c>
      <c r="AK26" s="231">
        <f>+Janvier!AM26</f>
        <v>1688.6538461538464</v>
      </c>
      <c r="AL26" s="231">
        <f>+Janvier!AN26</f>
        <v>1023.4265734265737</v>
      </c>
      <c r="AM26" s="231">
        <f>+Janvier!AO26</f>
        <v>633.24519230769238</v>
      </c>
      <c r="AN26" s="231">
        <f>+Janvier!AP26</f>
        <v>1266.4903846153848</v>
      </c>
      <c r="AO26" s="231">
        <f>+Janvier!AQ26</f>
        <v>633.24519230769238</v>
      </c>
      <c r="AP26" s="231">
        <f>+Janvier!AR26</f>
        <v>633.24519230769238</v>
      </c>
      <c r="AQ26" s="231">
        <f>+Janvier!AS26</f>
        <v>1125.7692307692309</v>
      </c>
      <c r="AR26" s="90">
        <f t="shared" si="39"/>
        <v>6</v>
      </c>
      <c r="AS26" s="90">
        <f t="shared" si="40"/>
        <v>5</v>
      </c>
      <c r="AT26" s="90">
        <f t="shared" si="41"/>
        <v>5</v>
      </c>
      <c r="AU26" s="90">
        <f t="shared" si="42"/>
        <v>1</v>
      </c>
      <c r="AV26" s="90">
        <f t="shared" si="43"/>
        <v>6</v>
      </c>
      <c r="AW26" s="90">
        <f t="shared" si="44"/>
        <v>5</v>
      </c>
      <c r="AX26" s="90">
        <f t="shared" si="49"/>
        <v>5</v>
      </c>
      <c r="AY26" s="90">
        <f t="shared" si="46"/>
        <v>1</v>
      </c>
      <c r="AZ26" s="90">
        <f t="shared" si="47"/>
        <v>5</v>
      </c>
      <c r="BA26" s="91">
        <f t="shared" si="48"/>
        <v>7</v>
      </c>
    </row>
    <row r="27" spans="1:53" ht="14.25" customHeight="1" x14ac:dyDescent="0.3">
      <c r="A27" s="120" t="s">
        <v>19</v>
      </c>
      <c r="B27" s="94">
        <v>43862</v>
      </c>
      <c r="C27" s="94">
        <v>43896</v>
      </c>
      <c r="D27" s="104">
        <v>1680</v>
      </c>
      <c r="E27" s="96">
        <v>960</v>
      </c>
      <c r="F27" s="97">
        <v>0</v>
      </c>
      <c r="G27" s="95">
        <v>4360</v>
      </c>
      <c r="H27" s="96">
        <v>3580</v>
      </c>
      <c r="I27" s="105">
        <v>0</v>
      </c>
      <c r="J27" s="95">
        <v>3100</v>
      </c>
      <c r="K27" s="96">
        <v>2380</v>
      </c>
      <c r="L27" s="97">
        <v>0</v>
      </c>
      <c r="M27" s="95">
        <v>3200</v>
      </c>
      <c r="N27" s="96">
        <v>2128</v>
      </c>
      <c r="O27" s="97">
        <v>0</v>
      </c>
      <c r="P27" s="95">
        <v>2137</v>
      </c>
      <c r="Q27" s="96">
        <v>1450</v>
      </c>
      <c r="R27" s="97">
        <v>0</v>
      </c>
      <c r="S27" s="95">
        <v>1030</v>
      </c>
      <c r="T27" s="96">
        <v>740</v>
      </c>
      <c r="U27" s="97">
        <v>0</v>
      </c>
      <c r="V27" s="95">
        <v>2360</v>
      </c>
      <c r="W27" s="96">
        <v>2410</v>
      </c>
      <c r="X27" s="97">
        <v>0</v>
      </c>
      <c r="Y27" s="95">
        <v>1380</v>
      </c>
      <c r="Z27" s="96">
        <v>1040</v>
      </c>
      <c r="AA27" s="100">
        <v>0</v>
      </c>
      <c r="AB27" s="95">
        <v>1370</v>
      </c>
      <c r="AC27" s="96">
        <v>1040</v>
      </c>
      <c r="AD27" s="97">
        <v>0</v>
      </c>
      <c r="AE27" s="95">
        <v>2440</v>
      </c>
      <c r="AF27" s="96">
        <v>1550</v>
      </c>
      <c r="AG27" s="105">
        <v>0</v>
      </c>
      <c r="AH27" s="231">
        <f>+Janvier!AJ27</f>
        <v>1833.75</v>
      </c>
      <c r="AI27" s="231">
        <f>+Janvier!AK27</f>
        <v>5705.0000000000009</v>
      </c>
      <c r="AJ27" s="231">
        <f>+Janvier!AL27</f>
        <v>4278.7500000000009</v>
      </c>
      <c r="AK27" s="231">
        <f>+Janvier!AM27</f>
        <v>4278.7500000000009</v>
      </c>
      <c r="AL27" s="231">
        <f>+Janvier!AN27</f>
        <v>2593.1818181818189</v>
      </c>
      <c r="AM27" s="231">
        <f>+Janvier!AO27</f>
        <v>1604.53125</v>
      </c>
      <c r="AN27" s="231">
        <f>+Janvier!AP27</f>
        <v>3209.0625</v>
      </c>
      <c r="AO27" s="231">
        <f>+Janvier!AQ27</f>
        <v>1604.53125</v>
      </c>
      <c r="AP27" s="231">
        <f>+Janvier!AR27</f>
        <v>1604.53125</v>
      </c>
      <c r="AQ27" s="231">
        <f>+Janvier!AS27</f>
        <v>2852.5000000000005</v>
      </c>
      <c r="AR27" s="90">
        <f t="shared" si="39"/>
        <v>3</v>
      </c>
      <c r="AS27" s="90">
        <f t="shared" si="40"/>
        <v>3</v>
      </c>
      <c r="AT27" s="90">
        <f t="shared" si="41"/>
        <v>3</v>
      </c>
      <c r="AU27" s="90">
        <f t="shared" si="42"/>
        <v>2</v>
      </c>
      <c r="AV27" s="90">
        <f t="shared" si="43"/>
        <v>3</v>
      </c>
      <c r="AW27" s="90">
        <f t="shared" si="44"/>
        <v>2</v>
      </c>
      <c r="AX27" s="90">
        <f t="shared" si="49"/>
        <v>4</v>
      </c>
      <c r="AY27" s="90">
        <f t="shared" si="46"/>
        <v>3</v>
      </c>
      <c r="AZ27" s="90">
        <f t="shared" si="47"/>
        <v>3</v>
      </c>
      <c r="BA27" s="91">
        <f t="shared" si="48"/>
        <v>3</v>
      </c>
    </row>
    <row r="28" spans="1:53" ht="14.25" customHeight="1" x14ac:dyDescent="0.3">
      <c r="A28" s="120" t="s">
        <v>20</v>
      </c>
      <c r="B28" s="94">
        <v>43862</v>
      </c>
      <c r="C28" s="94">
        <v>43896</v>
      </c>
      <c r="D28" s="104">
        <v>1200</v>
      </c>
      <c r="E28" s="96">
        <v>1680</v>
      </c>
      <c r="F28" s="97">
        <v>0</v>
      </c>
      <c r="G28" s="95">
        <v>2260</v>
      </c>
      <c r="H28" s="96">
        <f>140+4040</f>
        <v>4180</v>
      </c>
      <c r="I28" s="105">
        <v>0</v>
      </c>
      <c r="J28" s="95">
        <v>2330</v>
      </c>
      <c r="K28" s="96">
        <f>1040+2090</f>
        <v>3130</v>
      </c>
      <c r="L28" s="97">
        <v>0</v>
      </c>
      <c r="M28" s="95">
        <v>2260</v>
      </c>
      <c r="N28" s="96">
        <f>1036+2096</f>
        <v>3132</v>
      </c>
      <c r="O28" s="97">
        <v>0</v>
      </c>
      <c r="P28" s="95">
        <v>1528</v>
      </c>
      <c r="Q28" s="96">
        <f>794+2018</f>
        <v>2812</v>
      </c>
      <c r="R28" s="97">
        <v>0</v>
      </c>
      <c r="S28" s="95">
        <v>200</v>
      </c>
      <c r="T28" s="96">
        <f>330+720</f>
        <v>1050</v>
      </c>
      <c r="U28" s="97">
        <v>0</v>
      </c>
      <c r="V28" s="95">
        <v>1710</v>
      </c>
      <c r="W28" s="96">
        <f>1140+1350</f>
        <v>2490</v>
      </c>
      <c r="X28" s="97">
        <v>0</v>
      </c>
      <c r="Y28" s="95">
        <v>1110</v>
      </c>
      <c r="Z28" s="96">
        <f>320+930</f>
        <v>1250</v>
      </c>
      <c r="AA28" s="100">
        <v>0</v>
      </c>
      <c r="AB28" s="95">
        <v>1000</v>
      </c>
      <c r="AC28" s="96">
        <f>320+930</f>
        <v>1250</v>
      </c>
      <c r="AD28" s="97">
        <v>0</v>
      </c>
      <c r="AE28" s="95">
        <v>1930</v>
      </c>
      <c r="AF28" s="96">
        <v>1140</v>
      </c>
      <c r="AG28" s="105">
        <v>0</v>
      </c>
      <c r="AH28" s="231">
        <f>+Janvier!AJ28</f>
        <v>1230.2060439560439</v>
      </c>
      <c r="AI28" s="231">
        <f>+Janvier!AK28</f>
        <v>3827.3076923076924</v>
      </c>
      <c r="AJ28" s="231">
        <f>+Janvier!AL28</f>
        <v>2870.4807692307691</v>
      </c>
      <c r="AK28" s="231">
        <f>+Janvier!AM28</f>
        <v>2870.4807692307691</v>
      </c>
      <c r="AL28" s="231">
        <f>+Janvier!AN28</f>
        <v>1739.6853146853146</v>
      </c>
      <c r="AM28" s="231">
        <f>+Janvier!AO28</f>
        <v>1076.4302884615383</v>
      </c>
      <c r="AN28" s="231">
        <f>+Janvier!AP28</f>
        <v>2152.8605769230767</v>
      </c>
      <c r="AO28" s="231">
        <f>+Janvier!AQ28</f>
        <v>1076.4302884615383</v>
      </c>
      <c r="AP28" s="231">
        <f>+Janvier!AR28</f>
        <v>1076.4302884615383</v>
      </c>
      <c r="AQ28" s="231">
        <f>+Janvier!AS28</f>
        <v>1913.6538461538462</v>
      </c>
      <c r="AR28" s="90">
        <f t="shared" si="39"/>
        <v>7</v>
      </c>
      <c r="AS28" s="90">
        <f t="shared" si="40"/>
        <v>5</v>
      </c>
      <c r="AT28" s="90">
        <f t="shared" si="41"/>
        <v>5</v>
      </c>
      <c r="AU28" s="90">
        <f t="shared" si="42"/>
        <v>5</v>
      </c>
      <c r="AV28" s="90">
        <f t="shared" si="43"/>
        <v>8</v>
      </c>
      <c r="AW28" s="90">
        <f t="shared" si="44"/>
        <v>5</v>
      </c>
      <c r="AX28" s="90">
        <f t="shared" si="49"/>
        <v>6</v>
      </c>
      <c r="AY28" s="90">
        <f t="shared" si="46"/>
        <v>6</v>
      </c>
      <c r="AZ28" s="90">
        <f t="shared" si="47"/>
        <v>6</v>
      </c>
      <c r="BA28" s="91">
        <f t="shared" si="48"/>
        <v>3</v>
      </c>
    </row>
    <row r="29" spans="1:53" ht="15" thickBot="1" x14ac:dyDescent="0.35">
      <c r="A29" s="121" t="s">
        <v>79</v>
      </c>
      <c r="B29" s="143">
        <v>43862</v>
      </c>
      <c r="C29" s="143">
        <v>43896</v>
      </c>
      <c r="D29" s="161">
        <v>1040</v>
      </c>
      <c r="E29" s="109">
        <v>1680</v>
      </c>
      <c r="F29" s="110">
        <v>0</v>
      </c>
      <c r="G29" s="111">
        <v>5080</v>
      </c>
      <c r="H29" s="109">
        <v>4180</v>
      </c>
      <c r="I29" s="112">
        <v>0</v>
      </c>
      <c r="J29" s="111">
        <v>3080</v>
      </c>
      <c r="K29" s="109">
        <v>3130</v>
      </c>
      <c r="L29" s="110">
        <v>0</v>
      </c>
      <c r="M29" s="111">
        <v>3516</v>
      </c>
      <c r="N29" s="109">
        <v>3130</v>
      </c>
      <c r="O29" s="110">
        <v>0</v>
      </c>
      <c r="P29" s="111">
        <v>2133</v>
      </c>
      <c r="Q29" s="109">
        <v>2012</v>
      </c>
      <c r="R29" s="110">
        <v>0</v>
      </c>
      <c r="S29" s="111">
        <v>1000</v>
      </c>
      <c r="T29" s="109">
        <v>1250</v>
      </c>
      <c r="U29" s="110">
        <v>0</v>
      </c>
      <c r="V29" s="111">
        <v>1750</v>
      </c>
      <c r="W29" s="109">
        <v>2490</v>
      </c>
      <c r="X29" s="110">
        <v>0</v>
      </c>
      <c r="Y29" s="111">
        <v>1190</v>
      </c>
      <c r="Z29" s="109">
        <v>1250</v>
      </c>
      <c r="AA29" s="162">
        <v>0</v>
      </c>
      <c r="AB29" s="111">
        <v>1250</v>
      </c>
      <c r="AC29" s="109">
        <v>1250</v>
      </c>
      <c r="AD29" s="110">
        <v>0</v>
      </c>
      <c r="AE29" s="111">
        <v>1500</v>
      </c>
      <c r="AF29" s="109">
        <v>2630</v>
      </c>
      <c r="AG29" s="112">
        <v>0</v>
      </c>
      <c r="AH29" s="231">
        <f>+Janvier!AJ29</f>
        <v>1892.3489010989013</v>
      </c>
      <c r="AI29" s="231">
        <f>+Janvier!AK29</f>
        <v>5887.3076923076933</v>
      </c>
      <c r="AJ29" s="231">
        <f>+Janvier!AL29</f>
        <v>4415.4807692307704</v>
      </c>
      <c r="AK29" s="231">
        <f>+Janvier!AM29</f>
        <v>4415.4807692307704</v>
      </c>
      <c r="AL29" s="231">
        <f>+Janvier!AN29</f>
        <v>2676.0489510489515</v>
      </c>
      <c r="AM29" s="231">
        <f>+Janvier!AO29</f>
        <v>1655.8052884615383</v>
      </c>
      <c r="AN29" s="231">
        <f>+Janvier!AP29</f>
        <v>3311.6105769230767</v>
      </c>
      <c r="AO29" s="231">
        <f>+Janvier!AQ29</f>
        <v>1655.8052884615383</v>
      </c>
      <c r="AP29" s="231">
        <f>+Janvier!AR29</f>
        <v>1655.8052884615383</v>
      </c>
      <c r="AQ29" s="231">
        <f>+Janvier!AS29</f>
        <v>2943.6538461538466</v>
      </c>
      <c r="AR29" s="92">
        <f t="shared" si="39"/>
        <v>4</v>
      </c>
      <c r="AS29" s="92">
        <f t="shared" si="40"/>
        <v>4</v>
      </c>
      <c r="AT29" s="92">
        <f t="shared" si="41"/>
        <v>4</v>
      </c>
      <c r="AU29" s="92">
        <f t="shared" si="42"/>
        <v>4</v>
      </c>
      <c r="AV29" s="92">
        <f t="shared" si="43"/>
        <v>4</v>
      </c>
      <c r="AW29" s="92">
        <f t="shared" si="44"/>
        <v>4</v>
      </c>
      <c r="AX29" s="92">
        <f t="shared" si="49"/>
        <v>4</v>
      </c>
      <c r="AY29" s="92">
        <f t="shared" si="46"/>
        <v>4</v>
      </c>
      <c r="AZ29" s="92">
        <f t="shared" si="47"/>
        <v>4</v>
      </c>
      <c r="BA29" s="93">
        <f t="shared" si="48"/>
        <v>4</v>
      </c>
    </row>
    <row r="30" spans="1:53" ht="15" thickBot="1" x14ac:dyDescent="0.35">
      <c r="A30" s="140" t="s">
        <v>84</v>
      </c>
      <c r="B30" s="160">
        <v>43862</v>
      </c>
      <c r="C30" s="160">
        <v>43890</v>
      </c>
      <c r="D30" s="163">
        <v>89000</v>
      </c>
      <c r="E30" s="163">
        <v>53780</v>
      </c>
      <c r="F30" s="124">
        <v>0</v>
      </c>
      <c r="G30" s="163">
        <v>216000</v>
      </c>
      <c r="H30" s="163">
        <v>225380</v>
      </c>
      <c r="I30" s="126">
        <v>0</v>
      </c>
      <c r="J30" s="163">
        <v>175900</v>
      </c>
      <c r="K30" s="163">
        <v>167300</v>
      </c>
      <c r="L30" s="124">
        <v>0</v>
      </c>
      <c r="M30" s="163">
        <v>215600</v>
      </c>
      <c r="N30" s="163">
        <f>50400+115200</f>
        <v>165600</v>
      </c>
      <c r="O30" s="124">
        <v>0</v>
      </c>
      <c r="P30" s="163">
        <v>143100</v>
      </c>
      <c r="Q30" s="163">
        <v>107200</v>
      </c>
      <c r="R30" s="124">
        <v>0</v>
      </c>
      <c r="S30" s="163">
        <v>85700</v>
      </c>
      <c r="T30" s="163">
        <v>73100</v>
      </c>
      <c r="U30" s="124">
        <v>0</v>
      </c>
      <c r="V30" s="163">
        <v>171000</v>
      </c>
      <c r="W30" s="163">
        <v>139610</v>
      </c>
      <c r="X30" s="124">
        <v>0</v>
      </c>
      <c r="Y30" s="163">
        <v>43200</v>
      </c>
      <c r="Z30" s="163">
        <v>27500</v>
      </c>
      <c r="AA30" s="115">
        <v>0</v>
      </c>
      <c r="AB30" s="163">
        <v>37600</v>
      </c>
      <c r="AC30" s="163">
        <v>9100</v>
      </c>
      <c r="AD30" s="124">
        <v>0</v>
      </c>
      <c r="AE30" s="163">
        <v>149000</v>
      </c>
      <c r="AF30" s="163">
        <f>12500+107500</f>
        <v>120000</v>
      </c>
      <c r="AG30" s="126">
        <v>0</v>
      </c>
      <c r="AH30" s="231">
        <f>+Janvier!AJ30</f>
        <v>84811.691250000003</v>
      </c>
      <c r="AI30" s="231">
        <f>+Janvier!AK30</f>
        <v>294602.45192307694</v>
      </c>
      <c r="AJ30" s="231">
        <f>+Janvier!AL30</f>
        <v>196205.23298076927</v>
      </c>
      <c r="AK30" s="231">
        <f>+Janvier!AM30</f>
        <v>196205.23298076927</v>
      </c>
      <c r="AL30" s="231">
        <f>+Janvier!AN30</f>
        <v>123733.02980769234</v>
      </c>
      <c r="AM30" s="231">
        <f>+Janvier!AO30</f>
        <v>73650.612980769234</v>
      </c>
      <c r="AN30" s="231">
        <f>+Janvier!AP30</f>
        <v>147301.22596153847</v>
      </c>
      <c r="AO30" s="231">
        <f>+Janvier!AQ30</f>
        <v>73650.612980769234</v>
      </c>
      <c r="AP30" s="231">
        <f>+Janvier!AR30</f>
        <v>73650.612980769234</v>
      </c>
      <c r="AQ30" s="231">
        <f>+Janvier!AS30</f>
        <v>131665.70250000001</v>
      </c>
      <c r="AR30" s="90">
        <f>ROUND(E30/(AH30/15),0)</f>
        <v>10</v>
      </c>
      <c r="AS30" s="90">
        <f t="shared" ref="AS30" si="50">ROUND(H30/(AI30/15),0)</f>
        <v>11</v>
      </c>
      <c r="AT30" s="90">
        <f t="shared" ref="AT30" si="51">ROUND(K30/(AJ30/15),0)</f>
        <v>13</v>
      </c>
      <c r="AU30" s="90">
        <f t="shared" ref="AU30" si="52">ROUND(N30/(AK30/15),0)</f>
        <v>13</v>
      </c>
      <c r="AV30" s="90">
        <f t="shared" ref="AV30" si="53">ROUND(Q30/(AL30/15),0)</f>
        <v>13</v>
      </c>
      <c r="AW30" s="90">
        <f t="shared" ref="AW30" si="54">ROUND(T30/(AM30/15),0)</f>
        <v>15</v>
      </c>
      <c r="AX30" s="90">
        <f t="shared" ref="AX30" si="55">ROUND(W30/(AN30/15),0)</f>
        <v>14</v>
      </c>
      <c r="AY30" s="90">
        <f t="shared" ref="AY30" si="56">ROUND(Z30/(AO30/15),0)</f>
        <v>6</v>
      </c>
      <c r="AZ30" s="90">
        <f t="shared" ref="AZ30" si="57">ROUND(AC30/(AP30/15),0)</f>
        <v>2</v>
      </c>
      <c r="BA30" s="91">
        <f t="shared" ref="BA30" si="58">ROUND(AF30/(AQ30/15),0)</f>
        <v>14</v>
      </c>
    </row>
    <row r="31" spans="1:53" ht="15" thickBot="1" x14ac:dyDescent="0.35">
      <c r="A31" s="120" t="s">
        <v>35</v>
      </c>
      <c r="B31" s="160">
        <v>43862</v>
      </c>
      <c r="C31" s="94">
        <v>43890</v>
      </c>
      <c r="D31" s="106">
        <v>4500</v>
      </c>
      <c r="E31" s="106">
        <v>1220</v>
      </c>
      <c r="F31" s="97">
        <v>0</v>
      </c>
      <c r="G31" s="106">
        <f>2960+5180</f>
        <v>8140</v>
      </c>
      <c r="H31" s="106">
        <v>2720</v>
      </c>
      <c r="I31" s="105">
        <v>0</v>
      </c>
      <c r="J31" s="106">
        <v>7200</v>
      </c>
      <c r="K31" s="106">
        <v>1580</v>
      </c>
      <c r="L31" s="97">
        <v>0</v>
      </c>
      <c r="M31" s="106">
        <v>7496</v>
      </c>
      <c r="N31" s="106">
        <v>1756</v>
      </c>
      <c r="O31" s="97">
        <v>0</v>
      </c>
      <c r="P31" s="106">
        <v>4866</v>
      </c>
      <c r="Q31" s="106">
        <v>1156</v>
      </c>
      <c r="R31" s="97">
        <v>0</v>
      </c>
      <c r="S31" s="106">
        <v>2810</v>
      </c>
      <c r="T31" s="106">
        <v>880</v>
      </c>
      <c r="U31" s="97">
        <v>0</v>
      </c>
      <c r="V31" s="106">
        <v>6970</v>
      </c>
      <c r="W31" s="106">
        <v>2580</v>
      </c>
      <c r="X31" s="97">
        <v>0</v>
      </c>
      <c r="Y31" s="106">
        <v>3020</v>
      </c>
      <c r="Z31" s="106">
        <v>220</v>
      </c>
      <c r="AA31" s="100">
        <v>0</v>
      </c>
      <c r="AB31" s="106">
        <v>0</v>
      </c>
      <c r="AC31" s="106">
        <v>740</v>
      </c>
      <c r="AD31" s="97">
        <v>0</v>
      </c>
      <c r="AE31" s="106">
        <v>5730</v>
      </c>
      <c r="AF31" s="106">
        <v>2030</v>
      </c>
      <c r="AG31" s="105">
        <v>0</v>
      </c>
      <c r="AH31" s="231">
        <f>+Janvier!AJ31</f>
        <v>2028.8324175824175</v>
      </c>
      <c r="AI31" s="231">
        <f>+Janvier!AK31</f>
        <v>6311.9230769230771</v>
      </c>
      <c r="AJ31" s="231">
        <f>+Janvier!AL31</f>
        <v>4733.9423076923076</v>
      </c>
      <c r="AK31" s="231">
        <f>+Janvier!AM31</f>
        <v>4733.9423076923076</v>
      </c>
      <c r="AL31" s="231">
        <f>+Janvier!AN31</f>
        <v>2869.0559440559441</v>
      </c>
      <c r="AM31" s="231">
        <f>+Janvier!AO31</f>
        <v>1775.2283653846155</v>
      </c>
      <c r="AN31" s="231">
        <f>+Janvier!AP31</f>
        <v>3550.4567307692309</v>
      </c>
      <c r="AO31" s="231">
        <f>+Janvier!AQ31</f>
        <v>1775.2283653846155</v>
      </c>
      <c r="AP31" s="231">
        <f>+Janvier!AR31</f>
        <v>1775.2283653846155</v>
      </c>
      <c r="AQ31" s="231">
        <f>+Janvier!AS31</f>
        <v>3155.9615384615386</v>
      </c>
      <c r="AR31" s="16">
        <f t="shared" ref="AR31:AR39" si="59">ROUND(E31/(AH31/5),0)</f>
        <v>3</v>
      </c>
      <c r="AS31" s="16">
        <f t="shared" ref="AS31:AS39" si="60">ROUND(H31/(AI31/5),0)</f>
        <v>2</v>
      </c>
      <c r="AT31" s="16">
        <f t="shared" ref="AT31:AT39" si="61">ROUND(K31/(AJ31/5),0)</f>
        <v>2</v>
      </c>
      <c r="AU31" s="16">
        <f t="shared" ref="AU31:AU39" si="62">ROUND(N31/(AK31/5),0)</f>
        <v>2</v>
      </c>
      <c r="AV31" s="16">
        <f t="shared" ref="AV31:AV39" si="63">ROUND(Q31/(AL31/5),0)</f>
        <v>2</v>
      </c>
      <c r="AW31" s="16">
        <f t="shared" ref="AW31:AW39" si="64">ROUND(T31/(AM31/5),0)</f>
        <v>2</v>
      </c>
      <c r="AX31" s="16">
        <f t="shared" ref="AX31:AX39" si="65">ROUND(W31/(AN31/5),0)</f>
        <v>4</v>
      </c>
      <c r="AY31" s="16">
        <f t="shared" ref="AY31:AY39" si="66">ROUND(Z31/(AO31/5),0)</f>
        <v>1</v>
      </c>
      <c r="AZ31" s="16">
        <f t="shared" ref="AZ31:AZ39" si="67">ROUND(AC31/(AP31/5),0)</f>
        <v>2</v>
      </c>
      <c r="BA31" s="17">
        <f t="shared" ref="BA31:BA39" si="68">ROUND(AF31/(AQ31/5),0)</f>
        <v>3</v>
      </c>
    </row>
    <row r="32" spans="1:53" ht="15" thickBot="1" x14ac:dyDescent="0.35">
      <c r="A32" s="120" t="s">
        <v>36</v>
      </c>
      <c r="B32" s="160">
        <v>43862</v>
      </c>
      <c r="C32" s="94">
        <v>43890</v>
      </c>
      <c r="D32" s="106">
        <v>2860</v>
      </c>
      <c r="E32" s="96">
        <v>560</v>
      </c>
      <c r="F32" s="97">
        <v>0</v>
      </c>
      <c r="G32" s="106">
        <v>1520</v>
      </c>
      <c r="H32" s="96">
        <v>1200</v>
      </c>
      <c r="I32" s="105">
        <v>0</v>
      </c>
      <c r="J32" s="106">
        <v>1640</v>
      </c>
      <c r="K32" s="96">
        <f>150+800+190</f>
        <v>1140</v>
      </c>
      <c r="L32" s="97">
        <v>0</v>
      </c>
      <c r="M32" s="106">
        <v>1404</v>
      </c>
      <c r="N32" s="96">
        <v>1096</v>
      </c>
      <c r="O32" s="97">
        <v>0</v>
      </c>
      <c r="P32" s="106">
        <v>1115</v>
      </c>
      <c r="Q32" s="96">
        <f>800+250+84</f>
        <v>1134</v>
      </c>
      <c r="R32" s="97">
        <v>0</v>
      </c>
      <c r="S32" s="106">
        <v>560</v>
      </c>
      <c r="T32" s="96">
        <v>410</v>
      </c>
      <c r="U32" s="97">
        <v>0</v>
      </c>
      <c r="V32" s="106">
        <v>1340</v>
      </c>
      <c r="W32" s="96">
        <v>790</v>
      </c>
      <c r="X32" s="97">
        <v>0</v>
      </c>
      <c r="Y32" s="106">
        <v>700</v>
      </c>
      <c r="Z32" s="96">
        <v>620</v>
      </c>
      <c r="AA32" s="100">
        <v>0</v>
      </c>
      <c r="AB32" s="106">
        <v>320</v>
      </c>
      <c r="AC32" s="96">
        <v>600</v>
      </c>
      <c r="AD32" s="97">
        <v>0</v>
      </c>
      <c r="AE32" s="106">
        <v>980</v>
      </c>
      <c r="AF32" s="96">
        <v>550</v>
      </c>
      <c r="AG32" s="105">
        <v>0</v>
      </c>
      <c r="AH32" s="231">
        <f>+Janvier!AJ32</f>
        <v>431.0851648351649</v>
      </c>
      <c r="AI32" s="231">
        <f>+Janvier!AK32</f>
        <v>1341.1538461538464</v>
      </c>
      <c r="AJ32" s="231">
        <f>+Janvier!AL32</f>
        <v>1005.8653846153848</v>
      </c>
      <c r="AK32" s="231">
        <f>+Janvier!AM32</f>
        <v>1005.8653846153848</v>
      </c>
      <c r="AL32" s="231">
        <f>+Janvier!AN32</f>
        <v>609.61538461538464</v>
      </c>
      <c r="AM32" s="231">
        <f>+Janvier!AO32</f>
        <v>377.19951923076917</v>
      </c>
      <c r="AN32" s="231">
        <f>+Janvier!AP32</f>
        <v>754.39903846153834</v>
      </c>
      <c r="AO32" s="231">
        <f>+Janvier!AQ32</f>
        <v>377.19951923076917</v>
      </c>
      <c r="AP32" s="231">
        <f>+Janvier!AR32</f>
        <v>377.19951923076917</v>
      </c>
      <c r="AQ32" s="231">
        <f>+Janvier!AS32</f>
        <v>670.57692307692321</v>
      </c>
      <c r="AR32" s="16">
        <f t="shared" si="59"/>
        <v>6</v>
      </c>
      <c r="AS32" s="16">
        <f t="shared" si="60"/>
        <v>4</v>
      </c>
      <c r="AT32" s="16">
        <f t="shared" si="61"/>
        <v>6</v>
      </c>
      <c r="AU32" s="16">
        <f t="shared" si="62"/>
        <v>5</v>
      </c>
      <c r="AV32" s="16">
        <f t="shared" si="63"/>
        <v>9</v>
      </c>
      <c r="AW32" s="16">
        <f t="shared" si="64"/>
        <v>5</v>
      </c>
      <c r="AX32" s="16">
        <f t="shared" si="65"/>
        <v>5</v>
      </c>
      <c r="AY32" s="16">
        <f t="shared" si="66"/>
        <v>8</v>
      </c>
      <c r="AZ32" s="16">
        <f t="shared" si="67"/>
        <v>8</v>
      </c>
      <c r="BA32" s="17">
        <f t="shared" si="68"/>
        <v>4</v>
      </c>
    </row>
    <row r="33" spans="1:53" ht="15" thickBot="1" x14ac:dyDescent="0.35">
      <c r="A33" s="120" t="s">
        <v>37</v>
      </c>
      <c r="B33" s="160">
        <v>43862</v>
      </c>
      <c r="C33" s="94">
        <v>43890</v>
      </c>
      <c r="D33" s="106">
        <v>14440</v>
      </c>
      <c r="E33" s="106">
        <v>5180</v>
      </c>
      <c r="F33" s="97">
        <v>0</v>
      </c>
      <c r="G33" s="106">
        <v>35100</v>
      </c>
      <c r="H33" s="106">
        <v>14200</v>
      </c>
      <c r="I33" s="105">
        <v>0</v>
      </c>
      <c r="J33" s="106">
        <v>22620</v>
      </c>
      <c r="K33" s="106">
        <v>10680</v>
      </c>
      <c r="L33" s="97">
        <v>0</v>
      </c>
      <c r="M33" s="106">
        <v>22888</v>
      </c>
      <c r="N33" s="106">
        <v>10864</v>
      </c>
      <c r="O33" s="97">
        <v>0</v>
      </c>
      <c r="P33" s="106">
        <v>16682</v>
      </c>
      <c r="Q33" s="106">
        <v>6954</v>
      </c>
      <c r="R33" s="97">
        <v>0</v>
      </c>
      <c r="S33" s="106">
        <v>8810</v>
      </c>
      <c r="T33" s="106">
        <v>3450</v>
      </c>
      <c r="U33" s="97">
        <v>0</v>
      </c>
      <c r="V33" s="106">
        <v>19430</v>
      </c>
      <c r="W33" s="106">
        <v>8660</v>
      </c>
      <c r="X33" s="97">
        <v>0</v>
      </c>
      <c r="Y33" s="106">
        <v>10270</v>
      </c>
      <c r="Z33" s="106">
        <v>4470</v>
      </c>
      <c r="AA33" s="100">
        <v>0</v>
      </c>
      <c r="AB33" s="106">
        <v>4650</v>
      </c>
      <c r="AC33" s="106">
        <v>3780</v>
      </c>
      <c r="AD33" s="97">
        <v>0</v>
      </c>
      <c r="AE33" s="106">
        <v>17100</v>
      </c>
      <c r="AF33" s="106">
        <v>7520</v>
      </c>
      <c r="AG33" s="105">
        <v>0</v>
      </c>
      <c r="AH33" s="231">
        <f>+Janvier!AJ33</f>
        <v>5199.2307692307695</v>
      </c>
      <c r="AI33" s="231">
        <f>+Janvier!AK33</f>
        <v>16175.384615384613</v>
      </c>
      <c r="AJ33" s="231">
        <f>+Janvier!AL33</f>
        <v>12131.538461538461</v>
      </c>
      <c r="AK33" s="231">
        <f>+Janvier!AM33</f>
        <v>12131.538461538461</v>
      </c>
      <c r="AL33" s="231">
        <f>+Janvier!AN33</f>
        <v>7352.4475524475547</v>
      </c>
      <c r="AM33" s="231">
        <f>+Janvier!AO33</f>
        <v>4549.3269230769229</v>
      </c>
      <c r="AN33" s="231">
        <f>+Janvier!AP33</f>
        <v>9098.6538461538457</v>
      </c>
      <c r="AO33" s="231">
        <f>+Janvier!AQ33</f>
        <v>4549.3269230769229</v>
      </c>
      <c r="AP33" s="231">
        <f>+Janvier!AR33</f>
        <v>4549.3269230769229</v>
      </c>
      <c r="AQ33" s="231">
        <f>+Janvier!AS33</f>
        <v>8087.6923076923067</v>
      </c>
      <c r="AR33" s="16">
        <f t="shared" si="59"/>
        <v>5</v>
      </c>
      <c r="AS33" s="16">
        <f t="shared" si="60"/>
        <v>4</v>
      </c>
      <c r="AT33" s="16">
        <f t="shared" si="61"/>
        <v>4</v>
      </c>
      <c r="AU33" s="16">
        <f t="shared" si="62"/>
        <v>4</v>
      </c>
      <c r="AV33" s="16">
        <f t="shared" si="63"/>
        <v>5</v>
      </c>
      <c r="AW33" s="16">
        <f t="shared" si="64"/>
        <v>4</v>
      </c>
      <c r="AX33" s="16">
        <f t="shared" si="65"/>
        <v>5</v>
      </c>
      <c r="AY33" s="16">
        <f t="shared" si="66"/>
        <v>5</v>
      </c>
      <c r="AZ33" s="16">
        <f t="shared" si="67"/>
        <v>4</v>
      </c>
      <c r="BA33" s="17">
        <f t="shared" si="68"/>
        <v>5</v>
      </c>
    </row>
    <row r="34" spans="1:53" ht="15" thickBot="1" x14ac:dyDescent="0.35">
      <c r="A34" s="120" t="s">
        <v>38</v>
      </c>
      <c r="B34" s="160">
        <v>43862</v>
      </c>
      <c r="C34" s="94">
        <v>43890</v>
      </c>
      <c r="D34" s="106">
        <v>3900</v>
      </c>
      <c r="E34" s="106">
        <v>1700</v>
      </c>
      <c r="F34" s="97">
        <v>0</v>
      </c>
      <c r="G34" s="106">
        <f>3580+3280</f>
        <v>6860</v>
      </c>
      <c r="H34" s="106">
        <v>3580</v>
      </c>
      <c r="I34" s="105">
        <v>0</v>
      </c>
      <c r="J34" s="106">
        <v>5240</v>
      </c>
      <c r="K34" s="106">
        <v>2930</v>
      </c>
      <c r="L34" s="97">
        <v>0</v>
      </c>
      <c r="M34" s="106">
        <v>5820</v>
      </c>
      <c r="N34" s="106">
        <v>2900</v>
      </c>
      <c r="O34" s="97">
        <v>0</v>
      </c>
      <c r="P34" s="106">
        <v>3380</v>
      </c>
      <c r="Q34" s="106">
        <v>1950</v>
      </c>
      <c r="R34" s="97">
        <v>0</v>
      </c>
      <c r="S34" s="106">
        <v>2190</v>
      </c>
      <c r="T34" s="106">
        <v>1150</v>
      </c>
      <c r="U34" s="97">
        <v>0</v>
      </c>
      <c r="V34" s="106">
        <v>3800</v>
      </c>
      <c r="W34" s="106">
        <v>1890</v>
      </c>
      <c r="X34" s="97">
        <v>0</v>
      </c>
      <c r="Y34" s="106">
        <v>2140</v>
      </c>
      <c r="Z34" s="106">
        <v>1010</v>
      </c>
      <c r="AA34" s="100">
        <v>0</v>
      </c>
      <c r="AB34" s="106">
        <v>0</v>
      </c>
      <c r="AC34" s="106">
        <v>1300</v>
      </c>
      <c r="AD34" s="97">
        <v>0</v>
      </c>
      <c r="AE34" s="106">
        <v>4370</v>
      </c>
      <c r="AF34" s="106">
        <v>2060</v>
      </c>
      <c r="AG34" s="105">
        <v>0</v>
      </c>
      <c r="AH34" s="231">
        <f>+Janvier!AJ34</f>
        <v>1323.9148351648353</v>
      </c>
      <c r="AI34" s="231">
        <f>+Janvier!AK34</f>
        <v>4118.8461538461534</v>
      </c>
      <c r="AJ34" s="231">
        <f>+Janvier!AL34</f>
        <v>3089.1346153846152</v>
      </c>
      <c r="AK34" s="231">
        <f>+Janvier!AM34</f>
        <v>3089.1346153846152</v>
      </c>
      <c r="AL34" s="231">
        <f>+Janvier!AN34</f>
        <v>1872.2027972027972</v>
      </c>
      <c r="AM34" s="231">
        <f>+Janvier!AO34</f>
        <v>1158.4254807692307</v>
      </c>
      <c r="AN34" s="231">
        <f>+Janvier!AP34</f>
        <v>2316.8509615384614</v>
      </c>
      <c r="AO34" s="231">
        <f>+Janvier!AQ34</f>
        <v>1158.4254807692307</v>
      </c>
      <c r="AP34" s="231">
        <f>+Janvier!AR34</f>
        <v>1158.4254807692307</v>
      </c>
      <c r="AQ34" s="231">
        <f>+Janvier!AS34</f>
        <v>2059.4230769230767</v>
      </c>
      <c r="AR34" s="16">
        <f t="shared" si="59"/>
        <v>6</v>
      </c>
      <c r="AS34" s="16">
        <f t="shared" si="60"/>
        <v>4</v>
      </c>
      <c r="AT34" s="16">
        <f t="shared" si="61"/>
        <v>5</v>
      </c>
      <c r="AU34" s="16">
        <f t="shared" si="62"/>
        <v>5</v>
      </c>
      <c r="AV34" s="16">
        <f t="shared" si="63"/>
        <v>5</v>
      </c>
      <c r="AW34" s="16">
        <f t="shared" si="64"/>
        <v>5</v>
      </c>
      <c r="AX34" s="16">
        <f t="shared" si="65"/>
        <v>4</v>
      </c>
      <c r="AY34" s="16">
        <f t="shared" si="66"/>
        <v>4</v>
      </c>
      <c r="AZ34" s="16">
        <f t="shared" si="67"/>
        <v>6</v>
      </c>
      <c r="BA34" s="17">
        <f t="shared" si="68"/>
        <v>5</v>
      </c>
    </row>
    <row r="35" spans="1:53" ht="15" thickBot="1" x14ac:dyDescent="0.35">
      <c r="A35" s="120" t="s">
        <v>39</v>
      </c>
      <c r="B35" s="160">
        <v>43862</v>
      </c>
      <c r="C35" s="94">
        <v>43890</v>
      </c>
      <c r="D35" s="106">
        <v>11700</v>
      </c>
      <c r="E35" s="106">
        <v>4520</v>
      </c>
      <c r="F35" s="97">
        <v>0</v>
      </c>
      <c r="G35" s="106">
        <f>6760+14000</f>
        <v>20760</v>
      </c>
      <c r="H35" s="106">
        <v>6760</v>
      </c>
      <c r="I35" s="105">
        <v>0</v>
      </c>
      <c r="J35" s="106">
        <v>12610</v>
      </c>
      <c r="K35" s="106">
        <v>3140</v>
      </c>
      <c r="L35" s="97">
        <v>0</v>
      </c>
      <c r="M35" s="106">
        <v>12892</v>
      </c>
      <c r="N35" s="106">
        <v>3352</v>
      </c>
      <c r="O35" s="97">
        <v>0</v>
      </c>
      <c r="P35" s="106">
        <v>10160</v>
      </c>
      <c r="Q35" s="106">
        <v>3014</v>
      </c>
      <c r="R35" s="97">
        <v>0</v>
      </c>
      <c r="S35" s="106">
        <v>5960</v>
      </c>
      <c r="T35" s="106">
        <v>2270</v>
      </c>
      <c r="U35" s="97">
        <v>0</v>
      </c>
      <c r="V35" s="106">
        <v>14970</v>
      </c>
      <c r="W35" s="106">
        <v>5960</v>
      </c>
      <c r="X35" s="97">
        <v>0</v>
      </c>
      <c r="Y35" s="106">
        <v>6870</v>
      </c>
      <c r="Z35" s="106">
        <v>2400</v>
      </c>
      <c r="AA35" s="100">
        <v>0</v>
      </c>
      <c r="AB35" s="106">
        <v>2630</v>
      </c>
      <c r="AC35" s="106">
        <v>2630</v>
      </c>
      <c r="AD35" s="97">
        <v>0</v>
      </c>
      <c r="AE35" s="106">
        <v>12620</v>
      </c>
      <c r="AF35" s="106">
        <v>5020</v>
      </c>
      <c r="AG35" s="105">
        <v>0</v>
      </c>
      <c r="AH35" s="231">
        <f>+Janvier!AJ35</f>
        <v>4319.1346153846152</v>
      </c>
      <c r="AI35" s="231">
        <f>+Janvier!AK35</f>
        <v>13437.307692307693</v>
      </c>
      <c r="AJ35" s="231">
        <f>+Janvier!AL35</f>
        <v>10077.98076923077</v>
      </c>
      <c r="AK35" s="231">
        <f>+Janvier!AM35</f>
        <v>10077.98076923077</v>
      </c>
      <c r="AL35" s="231">
        <f>+Janvier!AN35</f>
        <v>6107.8671328671326</v>
      </c>
      <c r="AM35" s="231">
        <f>+Janvier!AO35</f>
        <v>3779.2427884615386</v>
      </c>
      <c r="AN35" s="231">
        <f>+Janvier!AP35</f>
        <v>7558.4855769230771</v>
      </c>
      <c r="AO35" s="231">
        <f>+Janvier!AQ35</f>
        <v>3779.2427884615386</v>
      </c>
      <c r="AP35" s="231">
        <f>+Janvier!AR35</f>
        <v>3779.2427884615386</v>
      </c>
      <c r="AQ35" s="231">
        <f>+Janvier!AS35</f>
        <v>6718.6538461538466</v>
      </c>
      <c r="AR35" s="16">
        <f t="shared" si="59"/>
        <v>5</v>
      </c>
      <c r="AS35" s="16">
        <f t="shared" si="60"/>
        <v>3</v>
      </c>
      <c r="AT35" s="16">
        <f t="shared" si="61"/>
        <v>2</v>
      </c>
      <c r="AU35" s="16">
        <f t="shared" si="62"/>
        <v>2</v>
      </c>
      <c r="AV35" s="16">
        <f t="shared" si="63"/>
        <v>2</v>
      </c>
      <c r="AW35" s="16">
        <f t="shared" si="64"/>
        <v>3</v>
      </c>
      <c r="AX35" s="16">
        <f t="shared" si="65"/>
        <v>4</v>
      </c>
      <c r="AY35" s="16">
        <f t="shared" si="66"/>
        <v>3</v>
      </c>
      <c r="AZ35" s="16">
        <f t="shared" si="67"/>
        <v>3</v>
      </c>
      <c r="BA35" s="17">
        <f t="shared" si="68"/>
        <v>4</v>
      </c>
    </row>
    <row r="36" spans="1:53" ht="15" thickBot="1" x14ac:dyDescent="0.35">
      <c r="A36" s="120" t="s">
        <v>40</v>
      </c>
      <c r="B36" s="160">
        <v>43862</v>
      </c>
      <c r="C36" s="94">
        <v>43890</v>
      </c>
      <c r="D36" s="106">
        <v>10340</v>
      </c>
      <c r="E36" s="106">
        <v>760</v>
      </c>
      <c r="F36" s="97">
        <v>0</v>
      </c>
      <c r="G36" s="106">
        <f>12320+11000</f>
        <v>23320</v>
      </c>
      <c r="H36" s="106">
        <v>9300</v>
      </c>
      <c r="I36" s="105">
        <v>0</v>
      </c>
      <c r="J36" s="106">
        <v>15770</v>
      </c>
      <c r="K36" s="106">
        <v>6770</v>
      </c>
      <c r="L36" s="97">
        <v>0</v>
      </c>
      <c r="M36" s="106">
        <v>15728</v>
      </c>
      <c r="N36" s="106">
        <v>7112</v>
      </c>
      <c r="O36" s="97">
        <v>0</v>
      </c>
      <c r="P36" s="106">
        <v>11850</v>
      </c>
      <c r="Q36" s="106">
        <v>6000</v>
      </c>
      <c r="R36" s="97">
        <v>0</v>
      </c>
      <c r="S36" s="106">
        <v>5570</v>
      </c>
      <c r="T36" s="106">
        <v>2740</v>
      </c>
      <c r="U36" s="97">
        <v>0</v>
      </c>
      <c r="V36" s="106">
        <v>13850</v>
      </c>
      <c r="W36" s="106">
        <v>6450</v>
      </c>
      <c r="X36" s="97">
        <v>0</v>
      </c>
      <c r="Y36" s="106">
        <v>5840</v>
      </c>
      <c r="Z36" s="106">
        <v>3980</v>
      </c>
      <c r="AA36" s="100">
        <v>0</v>
      </c>
      <c r="AB36" s="106">
        <v>3000</v>
      </c>
      <c r="AC36" s="106">
        <v>350</v>
      </c>
      <c r="AD36" s="97">
        <v>0</v>
      </c>
      <c r="AE36" s="106">
        <v>11150</v>
      </c>
      <c r="AF36" s="106">
        <v>5680</v>
      </c>
      <c r="AG36" s="105">
        <v>0</v>
      </c>
      <c r="AH36" s="231">
        <f>+Janvier!AJ36</f>
        <v>3701.7445054945065</v>
      </c>
      <c r="AI36" s="231">
        <f>+Janvier!AK36</f>
        <v>11516.538461538461</v>
      </c>
      <c r="AJ36" s="231">
        <f>+Janvier!AL36</f>
        <v>8637.4038461538476</v>
      </c>
      <c r="AK36" s="231">
        <f>+Janvier!AM36</f>
        <v>8637.4038461538476</v>
      </c>
      <c r="AL36" s="231">
        <f>+Janvier!AN36</f>
        <v>5234.7902097902097</v>
      </c>
      <c r="AM36" s="231">
        <f>+Janvier!AO36</f>
        <v>3239.0264423076924</v>
      </c>
      <c r="AN36" s="231">
        <f>+Janvier!AP36</f>
        <v>6478.0528846153848</v>
      </c>
      <c r="AO36" s="231">
        <f>+Janvier!AQ36</f>
        <v>3239.0264423076924</v>
      </c>
      <c r="AP36" s="231">
        <f>+Janvier!AR36</f>
        <v>3239.0264423076924</v>
      </c>
      <c r="AQ36" s="231">
        <f>+Janvier!AS36</f>
        <v>5758.2692307692305</v>
      </c>
      <c r="AR36" s="16">
        <f t="shared" si="59"/>
        <v>1</v>
      </c>
      <c r="AS36" s="16">
        <f t="shared" si="60"/>
        <v>4</v>
      </c>
      <c r="AT36" s="16">
        <f t="shared" si="61"/>
        <v>4</v>
      </c>
      <c r="AU36" s="16">
        <f t="shared" si="62"/>
        <v>4</v>
      </c>
      <c r="AV36" s="16">
        <f t="shared" si="63"/>
        <v>6</v>
      </c>
      <c r="AW36" s="16">
        <f t="shared" si="64"/>
        <v>4</v>
      </c>
      <c r="AX36" s="16">
        <f t="shared" si="65"/>
        <v>5</v>
      </c>
      <c r="AY36" s="16">
        <f t="shared" si="66"/>
        <v>6</v>
      </c>
      <c r="AZ36" s="16">
        <f t="shared" si="67"/>
        <v>1</v>
      </c>
      <c r="BA36" s="17">
        <f t="shared" si="68"/>
        <v>5</v>
      </c>
    </row>
    <row r="37" spans="1:53" ht="15" thickBot="1" x14ac:dyDescent="0.35">
      <c r="A37" s="120" t="s">
        <v>41</v>
      </c>
      <c r="B37" s="160">
        <v>43862</v>
      </c>
      <c r="C37" s="94">
        <v>43890</v>
      </c>
      <c r="D37" s="106">
        <v>3460</v>
      </c>
      <c r="E37" s="106">
        <v>1260</v>
      </c>
      <c r="F37" s="97">
        <v>0</v>
      </c>
      <c r="G37" s="106">
        <v>2300</v>
      </c>
      <c r="H37" s="106">
        <v>7300</v>
      </c>
      <c r="I37" s="105">
        <v>0</v>
      </c>
      <c r="J37" s="106">
        <v>8210</v>
      </c>
      <c r="K37" s="106">
        <v>5530</v>
      </c>
      <c r="L37" s="97">
        <v>0</v>
      </c>
      <c r="M37" s="106">
        <v>6916</v>
      </c>
      <c r="N37" s="106">
        <v>5116</v>
      </c>
      <c r="O37" s="97">
        <v>0</v>
      </c>
      <c r="P37" s="106">
        <v>4350</v>
      </c>
      <c r="Q37" s="106">
        <v>3850</v>
      </c>
      <c r="R37" s="97">
        <v>0</v>
      </c>
      <c r="S37" s="106">
        <v>2340</v>
      </c>
      <c r="T37" s="106">
        <v>1740</v>
      </c>
      <c r="U37" s="97">
        <v>0</v>
      </c>
      <c r="V37" s="106">
        <v>5210</v>
      </c>
      <c r="W37" s="106">
        <v>4660</v>
      </c>
      <c r="X37" s="97">
        <v>0</v>
      </c>
      <c r="Y37" s="106">
        <v>3330</v>
      </c>
      <c r="Z37" s="106">
        <v>2330</v>
      </c>
      <c r="AA37" s="100">
        <v>0</v>
      </c>
      <c r="AB37" s="106">
        <v>310</v>
      </c>
      <c r="AC37" s="106">
        <v>2100</v>
      </c>
      <c r="AD37" s="97">
        <v>0</v>
      </c>
      <c r="AE37" s="106">
        <v>6260</v>
      </c>
      <c r="AF37" s="106">
        <v>3530</v>
      </c>
      <c r="AG37" s="105">
        <v>0</v>
      </c>
      <c r="AH37" s="231">
        <f>+Janvier!AJ37</f>
        <v>2204.0109890109893</v>
      </c>
      <c r="AI37" s="231">
        <f>+Janvier!AK37</f>
        <v>6856.9230769230771</v>
      </c>
      <c r="AJ37" s="231">
        <f>+Janvier!AL37</f>
        <v>5142.6923076923085</v>
      </c>
      <c r="AK37" s="231">
        <f>+Janvier!AM37</f>
        <v>5142.6923076923085</v>
      </c>
      <c r="AL37" s="231">
        <f>+Janvier!AN37</f>
        <v>3116.7832167832171</v>
      </c>
      <c r="AM37" s="231">
        <f>+Janvier!AO37</f>
        <v>1928.5096153846155</v>
      </c>
      <c r="AN37" s="231">
        <f>+Janvier!AP37</f>
        <v>3857.0192307692309</v>
      </c>
      <c r="AO37" s="231">
        <f>+Janvier!AQ37</f>
        <v>1928.5096153846155</v>
      </c>
      <c r="AP37" s="231">
        <f>+Janvier!AR37</f>
        <v>1928.5096153846155</v>
      </c>
      <c r="AQ37" s="231">
        <f>+Janvier!AS37</f>
        <v>3428.4615384615386</v>
      </c>
      <c r="AR37" s="16">
        <f t="shared" si="59"/>
        <v>3</v>
      </c>
      <c r="AS37" s="16">
        <f t="shared" si="60"/>
        <v>5</v>
      </c>
      <c r="AT37" s="16">
        <f t="shared" si="61"/>
        <v>5</v>
      </c>
      <c r="AU37" s="16">
        <f t="shared" si="62"/>
        <v>5</v>
      </c>
      <c r="AV37" s="16">
        <f t="shared" si="63"/>
        <v>6</v>
      </c>
      <c r="AW37" s="16">
        <f t="shared" si="64"/>
        <v>5</v>
      </c>
      <c r="AX37" s="16">
        <f t="shared" si="65"/>
        <v>6</v>
      </c>
      <c r="AY37" s="16">
        <f t="shared" si="66"/>
        <v>6</v>
      </c>
      <c r="AZ37" s="16">
        <f t="shared" si="67"/>
        <v>5</v>
      </c>
      <c r="BA37" s="17">
        <f t="shared" si="68"/>
        <v>5</v>
      </c>
    </row>
    <row r="38" spans="1:53" ht="15" thickBot="1" x14ac:dyDescent="0.35">
      <c r="A38" s="120" t="s">
        <v>42</v>
      </c>
      <c r="B38" s="160">
        <v>43862</v>
      </c>
      <c r="C38" s="94">
        <v>43890</v>
      </c>
      <c r="D38" s="106">
        <v>8200</v>
      </c>
      <c r="E38" s="106">
        <v>5900</v>
      </c>
      <c r="F38" s="97">
        <v>0</v>
      </c>
      <c r="G38" s="106">
        <v>9160</v>
      </c>
      <c r="H38" s="106">
        <v>15160</v>
      </c>
      <c r="I38" s="105">
        <v>0</v>
      </c>
      <c r="J38" s="106">
        <v>12540</v>
      </c>
      <c r="K38" s="106">
        <v>11300</v>
      </c>
      <c r="L38" s="97">
        <v>0</v>
      </c>
      <c r="M38" s="106">
        <v>10400</v>
      </c>
      <c r="N38" s="106">
        <v>11500</v>
      </c>
      <c r="O38" s="97">
        <v>0</v>
      </c>
      <c r="P38" s="106">
        <v>6500</v>
      </c>
      <c r="Q38" s="106">
        <v>7700</v>
      </c>
      <c r="R38" s="97">
        <v>0</v>
      </c>
      <c r="S38" s="106">
        <v>5550</v>
      </c>
      <c r="T38" s="106">
        <v>3740</v>
      </c>
      <c r="U38" s="97">
        <v>0</v>
      </c>
      <c r="V38" s="106">
        <v>11010</v>
      </c>
      <c r="W38" s="106">
        <v>9320</v>
      </c>
      <c r="X38" s="97">
        <v>0</v>
      </c>
      <c r="Y38" s="106">
        <v>8340</v>
      </c>
      <c r="Z38" s="106">
        <v>4820</v>
      </c>
      <c r="AA38" s="100">
        <v>0</v>
      </c>
      <c r="AB38" s="106">
        <v>0</v>
      </c>
      <c r="AC38" s="106">
        <v>2900</v>
      </c>
      <c r="AD38" s="97">
        <v>0</v>
      </c>
      <c r="AE38" s="106">
        <v>7130</v>
      </c>
      <c r="AF38" s="106">
        <v>7820</v>
      </c>
      <c r="AG38" s="105">
        <v>0</v>
      </c>
      <c r="AH38" s="231">
        <f>+Janvier!AJ38</f>
        <v>4595.1923076923076</v>
      </c>
      <c r="AI38" s="231">
        <f>+Janvier!AK38</f>
        <v>14296.153846153846</v>
      </c>
      <c r="AJ38" s="231">
        <f>+Janvier!AL38</f>
        <v>10722.115384615387</v>
      </c>
      <c r="AK38" s="231">
        <f>+Janvier!AM38</f>
        <v>10722.115384615387</v>
      </c>
      <c r="AL38" s="231">
        <f>+Janvier!AN38</f>
        <v>6498.2517482517496</v>
      </c>
      <c r="AM38" s="231">
        <f>+Janvier!AO38</f>
        <v>4020.7932692307691</v>
      </c>
      <c r="AN38" s="231">
        <f>+Janvier!AP38</f>
        <v>8041.5865384615381</v>
      </c>
      <c r="AO38" s="231">
        <f>+Janvier!AQ38</f>
        <v>4020.7932692307691</v>
      </c>
      <c r="AP38" s="231">
        <f>+Janvier!AR38</f>
        <v>4020.7932692307691</v>
      </c>
      <c r="AQ38" s="231">
        <f>+Janvier!AS38</f>
        <v>7148.0769230769229</v>
      </c>
      <c r="AR38" s="16">
        <f t="shared" si="59"/>
        <v>6</v>
      </c>
      <c r="AS38" s="16">
        <f t="shared" si="60"/>
        <v>5</v>
      </c>
      <c r="AT38" s="16">
        <f t="shared" si="61"/>
        <v>5</v>
      </c>
      <c r="AU38" s="16">
        <f t="shared" si="62"/>
        <v>5</v>
      </c>
      <c r="AV38" s="16">
        <f t="shared" si="63"/>
        <v>6</v>
      </c>
      <c r="AW38" s="16">
        <f t="shared" si="64"/>
        <v>5</v>
      </c>
      <c r="AX38" s="16">
        <f t="shared" si="65"/>
        <v>6</v>
      </c>
      <c r="AY38" s="16">
        <f t="shared" si="66"/>
        <v>6</v>
      </c>
      <c r="AZ38" s="16">
        <f t="shared" si="67"/>
        <v>4</v>
      </c>
      <c r="BA38" s="17">
        <f t="shared" si="68"/>
        <v>5</v>
      </c>
    </row>
    <row r="39" spans="1:53" ht="15" thickBot="1" x14ac:dyDescent="0.35">
      <c r="A39" s="121" t="s">
        <v>43</v>
      </c>
      <c r="B39" s="160">
        <v>43862</v>
      </c>
      <c r="C39" s="143">
        <v>43890</v>
      </c>
      <c r="D39" s="145">
        <v>7380</v>
      </c>
      <c r="E39" s="145">
        <v>5180</v>
      </c>
      <c r="F39" s="110">
        <v>0</v>
      </c>
      <c r="G39" s="145">
        <f>6920+5160</f>
        <v>12080</v>
      </c>
      <c r="H39" s="145">
        <v>6920</v>
      </c>
      <c r="I39" s="112">
        <v>0</v>
      </c>
      <c r="J39" s="145">
        <v>7800</v>
      </c>
      <c r="K39" s="145">
        <v>4530</v>
      </c>
      <c r="L39" s="110">
        <v>0</v>
      </c>
      <c r="M39" s="145">
        <v>8708</v>
      </c>
      <c r="N39" s="145">
        <v>4956</v>
      </c>
      <c r="O39" s="110">
        <v>0</v>
      </c>
      <c r="P39" s="145">
        <v>3950</v>
      </c>
      <c r="Q39" s="145">
        <v>2538</v>
      </c>
      <c r="R39" s="110">
        <v>0</v>
      </c>
      <c r="S39" s="145">
        <v>4440</v>
      </c>
      <c r="T39" s="145">
        <v>1910</v>
      </c>
      <c r="U39" s="110">
        <v>0</v>
      </c>
      <c r="V39" s="145">
        <v>7170</v>
      </c>
      <c r="W39" s="145">
        <v>4130</v>
      </c>
      <c r="X39" s="110">
        <v>0</v>
      </c>
      <c r="Y39" s="145">
        <v>5610</v>
      </c>
      <c r="Z39" s="145">
        <v>2020</v>
      </c>
      <c r="AA39" s="162">
        <v>0</v>
      </c>
      <c r="AB39" s="145">
        <v>30</v>
      </c>
      <c r="AC39" s="145">
        <v>4510</v>
      </c>
      <c r="AD39" s="110">
        <v>0</v>
      </c>
      <c r="AE39" s="145">
        <v>7730</v>
      </c>
      <c r="AF39" s="145">
        <v>4630</v>
      </c>
      <c r="AG39" s="112">
        <v>0</v>
      </c>
      <c r="AH39" s="231">
        <f>+Janvier!AJ39</f>
        <v>4254.2307692307695</v>
      </c>
      <c r="AI39" s="231">
        <f>+Janvier!AK39</f>
        <v>13235.384615384613</v>
      </c>
      <c r="AJ39" s="231">
        <f>+Janvier!AL39</f>
        <v>9926.538461538461</v>
      </c>
      <c r="AK39" s="231">
        <f>+Janvier!AM39</f>
        <v>9926.538461538461</v>
      </c>
      <c r="AL39" s="231">
        <f>+Janvier!AN39</f>
        <v>6016.0839160839159</v>
      </c>
      <c r="AM39" s="231">
        <f>+Janvier!AO39</f>
        <v>3722.4519230769233</v>
      </c>
      <c r="AN39" s="231">
        <f>+Janvier!AP39</f>
        <v>7444.9038461538466</v>
      </c>
      <c r="AO39" s="231">
        <f>+Janvier!AQ39</f>
        <v>3722.4519230769233</v>
      </c>
      <c r="AP39" s="231">
        <f>+Janvier!AR39</f>
        <v>3722.4519230769233</v>
      </c>
      <c r="AQ39" s="231">
        <f>+Janvier!AS39</f>
        <v>6617.6923076923067</v>
      </c>
      <c r="AR39" s="32">
        <f t="shared" si="59"/>
        <v>6</v>
      </c>
      <c r="AS39" s="32">
        <f t="shared" si="60"/>
        <v>3</v>
      </c>
      <c r="AT39" s="32">
        <f t="shared" si="61"/>
        <v>2</v>
      </c>
      <c r="AU39" s="32">
        <f t="shared" si="62"/>
        <v>2</v>
      </c>
      <c r="AV39" s="32">
        <f t="shared" si="63"/>
        <v>2</v>
      </c>
      <c r="AW39" s="32">
        <f t="shared" si="64"/>
        <v>3</v>
      </c>
      <c r="AX39" s="32">
        <f t="shared" si="65"/>
        <v>3</v>
      </c>
      <c r="AY39" s="32">
        <f t="shared" si="66"/>
        <v>3</v>
      </c>
      <c r="AZ39" s="32">
        <f t="shared" si="67"/>
        <v>6</v>
      </c>
      <c r="BA39" s="33">
        <f t="shared" si="68"/>
        <v>3</v>
      </c>
    </row>
    <row r="40" spans="1:53" ht="15.6" x14ac:dyDescent="0.3">
      <c r="A40" s="198" t="s">
        <v>88</v>
      </c>
      <c r="B40" s="160">
        <v>43862</v>
      </c>
      <c r="C40" s="160">
        <v>43890</v>
      </c>
      <c r="D40" s="122">
        <v>76000</v>
      </c>
      <c r="E40" s="123">
        <v>58980</v>
      </c>
      <c r="F40" s="124">
        <v>0</v>
      </c>
      <c r="G40" s="125">
        <v>250000</v>
      </c>
      <c r="H40" s="123">
        <v>226120</v>
      </c>
      <c r="I40" s="126">
        <v>0</v>
      </c>
      <c r="J40" s="125">
        <v>180000</v>
      </c>
      <c r="K40" s="123">
        <v>125960</v>
      </c>
      <c r="L40" s="124">
        <v>4</v>
      </c>
      <c r="M40" s="125">
        <v>165600</v>
      </c>
      <c r="N40" s="123">
        <v>140856</v>
      </c>
      <c r="O40" s="124">
        <v>0</v>
      </c>
      <c r="P40" s="125">
        <v>120000</v>
      </c>
      <c r="Q40" s="123">
        <v>95181</v>
      </c>
      <c r="R40" s="124">
        <v>0</v>
      </c>
      <c r="S40" s="125">
        <v>65000</v>
      </c>
      <c r="T40" s="123">
        <v>50960</v>
      </c>
      <c r="U40" s="124">
        <v>4</v>
      </c>
      <c r="V40" s="125">
        <v>121000</v>
      </c>
      <c r="W40" s="123">
        <v>114220</v>
      </c>
      <c r="X40" s="124">
        <v>0</v>
      </c>
      <c r="Y40" s="125">
        <v>34500</v>
      </c>
      <c r="Z40" s="123">
        <v>11690</v>
      </c>
      <c r="AA40" s="124">
        <v>4</v>
      </c>
      <c r="AB40" s="125">
        <v>17000</v>
      </c>
      <c r="AC40" s="123">
        <v>0</v>
      </c>
      <c r="AD40" s="124">
        <v>4</v>
      </c>
      <c r="AE40" s="125">
        <v>140000</v>
      </c>
      <c r="AF40" s="123">
        <v>109420</v>
      </c>
      <c r="AG40" s="126">
        <v>4</v>
      </c>
      <c r="AH40" s="231">
        <f>+Janvier!AJ40</f>
        <v>69601.949999999983</v>
      </c>
      <c r="AI40" s="231">
        <f>+Janvier!AK40</f>
        <v>241304.71153846153</v>
      </c>
      <c r="AJ40" s="231">
        <f>+Janvier!AL40</f>
        <v>160708.93788461541</v>
      </c>
      <c r="AK40" s="231">
        <f>+Janvier!AM40</f>
        <v>160708.93788461541</v>
      </c>
      <c r="AL40" s="231">
        <f>+Janvier!AN40</f>
        <v>101347.97884615386</v>
      </c>
      <c r="AM40" s="231">
        <f>+Janvier!AO40</f>
        <v>60326.177884615383</v>
      </c>
      <c r="AN40" s="231">
        <f>+Janvier!AP40</f>
        <v>120652.35576923077</v>
      </c>
      <c r="AO40" s="231">
        <f>+Janvier!AQ40</f>
        <v>60326.177884615383</v>
      </c>
      <c r="AP40" s="231">
        <f>+Janvier!AR40</f>
        <v>60326.177884615383</v>
      </c>
      <c r="AQ40" s="231">
        <f>+Janvier!AS40</f>
        <v>108053.37692307694</v>
      </c>
      <c r="AR40" s="16">
        <f>ROUND(E40/(AH40/15),0)</f>
        <v>13</v>
      </c>
      <c r="AS40" s="16">
        <f t="shared" ref="AS40" si="69">ROUND(H40/(AI40/15),0)</f>
        <v>14</v>
      </c>
      <c r="AT40" s="16">
        <f t="shared" ref="AT40" si="70">ROUND(K40/(AJ40/15),0)</f>
        <v>12</v>
      </c>
      <c r="AU40" s="16">
        <f t="shared" ref="AU40" si="71">ROUND(N40/(AK40/15),0)</f>
        <v>13</v>
      </c>
      <c r="AV40" s="16">
        <f t="shared" ref="AV40" si="72">ROUND(Q40/(AL40/15),0)</f>
        <v>14</v>
      </c>
      <c r="AW40" s="16">
        <f t="shared" ref="AW40" si="73">ROUND(T40/(AM40/15),0)</f>
        <v>13</v>
      </c>
      <c r="AX40" s="16">
        <f t="shared" ref="AX40" si="74">ROUND(W40/(AN40/15),0)</f>
        <v>14</v>
      </c>
      <c r="AY40" s="16">
        <f t="shared" ref="AY40" si="75">ROUND(Z40/(AO40/15),0)</f>
        <v>3</v>
      </c>
      <c r="AZ40" s="16">
        <f t="shared" ref="AZ40" si="76">ROUND(AC40/(AP40/15),0)</f>
        <v>0</v>
      </c>
      <c r="BA40" s="17">
        <f t="shared" ref="BA40" si="77">ROUND(AF40/(AQ40/15),0)</f>
        <v>15</v>
      </c>
    </row>
    <row r="41" spans="1:53" ht="15.6" x14ac:dyDescent="0.3">
      <c r="A41" s="199" t="s">
        <v>44</v>
      </c>
      <c r="B41" s="94">
        <v>43862</v>
      </c>
      <c r="C41" s="94">
        <v>43890</v>
      </c>
      <c r="D41" s="107">
        <v>1940</v>
      </c>
      <c r="E41" s="96">
        <v>1980</v>
      </c>
      <c r="F41" s="97">
        <v>0</v>
      </c>
      <c r="G41" s="95">
        <v>5600</v>
      </c>
      <c r="H41" s="96">
        <v>5900</v>
      </c>
      <c r="I41" s="105">
        <v>0</v>
      </c>
      <c r="J41" s="95">
        <v>4300</v>
      </c>
      <c r="K41" s="96">
        <v>4300</v>
      </c>
      <c r="L41" s="97">
        <v>0</v>
      </c>
      <c r="M41" s="95">
        <v>4200</v>
      </c>
      <c r="N41" s="96">
        <v>4300</v>
      </c>
      <c r="O41" s="97">
        <v>0</v>
      </c>
      <c r="P41" s="95">
        <v>2500</v>
      </c>
      <c r="Q41" s="96">
        <v>2674</v>
      </c>
      <c r="R41" s="97">
        <v>0</v>
      </c>
      <c r="S41" s="95">
        <v>1400</v>
      </c>
      <c r="T41" s="96">
        <v>1490</v>
      </c>
      <c r="U41" s="97">
        <v>0</v>
      </c>
      <c r="V41" s="95">
        <v>2900</v>
      </c>
      <c r="W41" s="96">
        <v>3410</v>
      </c>
      <c r="X41" s="97">
        <v>0</v>
      </c>
      <c r="Y41" s="95">
        <v>1000</v>
      </c>
      <c r="Z41" s="96">
        <v>1230</v>
      </c>
      <c r="AA41" s="97">
        <v>0</v>
      </c>
      <c r="AB41" s="95">
        <v>100</v>
      </c>
      <c r="AC41" s="96">
        <v>650</v>
      </c>
      <c r="AD41" s="97">
        <v>6</v>
      </c>
      <c r="AE41" s="95">
        <v>3000</v>
      </c>
      <c r="AF41" s="96">
        <v>3000</v>
      </c>
      <c r="AG41" s="105">
        <v>0</v>
      </c>
      <c r="AH41" s="231">
        <f>+Janvier!AJ41</f>
        <v>1769.7115384615383</v>
      </c>
      <c r="AI41" s="231">
        <f>+Janvier!AK41</f>
        <v>5505.7692307692305</v>
      </c>
      <c r="AJ41" s="231">
        <f>+Janvier!AL41</f>
        <v>4129.3269230769229</v>
      </c>
      <c r="AK41" s="231">
        <f>+Janvier!AM41</f>
        <v>4129.3269230769229</v>
      </c>
      <c r="AL41" s="231">
        <f>+Janvier!AN41</f>
        <v>2502.6223776223778</v>
      </c>
      <c r="AM41" s="231">
        <f>+Janvier!AO41</f>
        <v>1548.4975961538462</v>
      </c>
      <c r="AN41" s="231">
        <f>+Janvier!AP41</f>
        <v>3096.9951923076924</v>
      </c>
      <c r="AO41" s="231">
        <f>+Janvier!AQ41</f>
        <v>1548.4975961538462</v>
      </c>
      <c r="AP41" s="231">
        <f>+Janvier!AR41</f>
        <v>1548.4975961538462</v>
      </c>
      <c r="AQ41" s="231">
        <f>+Janvier!AS41</f>
        <v>2752.8846153846152</v>
      </c>
      <c r="AR41" s="16">
        <f t="shared" ref="AR41:AR53" si="78">ROUND(E41/(AH41/5),0)</f>
        <v>6</v>
      </c>
      <c r="AS41" s="16">
        <f t="shared" ref="AS41:AS53" si="79">ROUND(H41/(AI41/5),0)</f>
        <v>5</v>
      </c>
      <c r="AT41" s="16">
        <f t="shared" ref="AT41:AT53" si="80">ROUND(K41/(AJ41/5),0)</f>
        <v>5</v>
      </c>
      <c r="AU41" s="16">
        <f t="shared" ref="AU41:AU53" si="81">ROUND(N41/(AK41/5),0)</f>
        <v>5</v>
      </c>
      <c r="AV41" s="16">
        <f t="shared" ref="AV41:AV53" si="82">ROUND(Q41/(AL41/5),0)</f>
        <v>5</v>
      </c>
      <c r="AW41" s="16">
        <f t="shared" ref="AW41:AW53" si="83">ROUND(T41/(AM41/5),0)</f>
        <v>5</v>
      </c>
      <c r="AX41" s="16">
        <f t="shared" ref="AX41:AX53" si="84">ROUND(W41/(AN41/5),0)</f>
        <v>6</v>
      </c>
      <c r="AY41" s="16">
        <f t="shared" ref="AY41:AY53" si="85">ROUND(Z41/(AO41/5),0)</f>
        <v>4</v>
      </c>
      <c r="AZ41" s="16">
        <f t="shared" ref="AZ41:AZ53" si="86">ROUND(AC41/(AP41/5),0)</f>
        <v>2</v>
      </c>
      <c r="BA41" s="17">
        <f t="shared" ref="BA41:BA53" si="87">ROUND(AF41/(AQ41/5),0)</f>
        <v>5</v>
      </c>
    </row>
    <row r="42" spans="1:53" ht="15.6" x14ac:dyDescent="0.3">
      <c r="A42" s="199" t="s">
        <v>45</v>
      </c>
      <c r="B42" s="94">
        <v>43862</v>
      </c>
      <c r="C42" s="94">
        <v>43890</v>
      </c>
      <c r="D42" s="107">
        <v>480</v>
      </c>
      <c r="E42" s="96">
        <v>540</v>
      </c>
      <c r="F42" s="97">
        <v>0</v>
      </c>
      <c r="G42" s="95">
        <v>1470</v>
      </c>
      <c r="H42" s="96">
        <v>1570</v>
      </c>
      <c r="I42" s="105">
        <v>0</v>
      </c>
      <c r="J42" s="95">
        <v>1080</v>
      </c>
      <c r="K42" s="96">
        <v>1080</v>
      </c>
      <c r="L42" s="97">
        <v>0</v>
      </c>
      <c r="M42" s="95">
        <v>1012</v>
      </c>
      <c r="N42" s="96">
        <v>1080</v>
      </c>
      <c r="O42" s="97">
        <v>0</v>
      </c>
      <c r="P42" s="95">
        <v>671</v>
      </c>
      <c r="Q42" s="96">
        <v>700</v>
      </c>
      <c r="R42" s="97">
        <v>0</v>
      </c>
      <c r="S42" s="95">
        <v>280</v>
      </c>
      <c r="T42" s="96">
        <v>400</v>
      </c>
      <c r="U42" s="97">
        <v>0</v>
      </c>
      <c r="V42" s="95">
        <v>600</v>
      </c>
      <c r="W42" s="96">
        <v>900</v>
      </c>
      <c r="X42" s="97">
        <v>0</v>
      </c>
      <c r="Y42" s="95">
        <v>360</v>
      </c>
      <c r="Z42" s="96">
        <v>360</v>
      </c>
      <c r="AA42" s="97">
        <v>0</v>
      </c>
      <c r="AB42" s="95">
        <v>430</v>
      </c>
      <c r="AC42" s="96">
        <v>430</v>
      </c>
      <c r="AD42" s="97">
        <v>0</v>
      </c>
      <c r="AE42" s="95">
        <v>900</v>
      </c>
      <c r="AF42" s="96">
        <v>900</v>
      </c>
      <c r="AG42" s="105">
        <v>0</v>
      </c>
      <c r="AH42" s="231">
        <f>+Janvier!AJ42</f>
        <v>499.20329670329681</v>
      </c>
      <c r="AI42" s="231">
        <f>+Janvier!AK42</f>
        <v>1553.0769230769233</v>
      </c>
      <c r="AJ42" s="231">
        <f>+Janvier!AL42</f>
        <v>1164.8076923076926</v>
      </c>
      <c r="AK42" s="231">
        <f>+Janvier!AM42</f>
        <v>1164.8076923076926</v>
      </c>
      <c r="AL42" s="231">
        <f>+Janvier!AN42</f>
        <v>705.944055944056</v>
      </c>
      <c r="AM42" s="231">
        <f>+Janvier!AO42</f>
        <v>436.80288461538458</v>
      </c>
      <c r="AN42" s="231">
        <f>+Janvier!AP42</f>
        <v>873.60576923076917</v>
      </c>
      <c r="AO42" s="231">
        <f>+Janvier!AQ42</f>
        <v>436.80288461538458</v>
      </c>
      <c r="AP42" s="231">
        <f>+Janvier!AR42</f>
        <v>436.80288461538458</v>
      </c>
      <c r="AQ42" s="231">
        <f>+Janvier!AS42</f>
        <v>776.53846153846166</v>
      </c>
      <c r="AR42" s="16">
        <f t="shared" si="78"/>
        <v>5</v>
      </c>
      <c r="AS42" s="16">
        <f t="shared" si="79"/>
        <v>5</v>
      </c>
      <c r="AT42" s="16">
        <f t="shared" si="80"/>
        <v>5</v>
      </c>
      <c r="AU42" s="16">
        <f t="shared" si="81"/>
        <v>5</v>
      </c>
      <c r="AV42" s="16">
        <f t="shared" si="82"/>
        <v>5</v>
      </c>
      <c r="AW42" s="16">
        <f t="shared" si="83"/>
        <v>5</v>
      </c>
      <c r="AX42" s="16">
        <f t="shared" si="84"/>
        <v>5</v>
      </c>
      <c r="AY42" s="16">
        <f t="shared" si="85"/>
        <v>4</v>
      </c>
      <c r="AZ42" s="16">
        <f t="shared" si="86"/>
        <v>5</v>
      </c>
      <c r="BA42" s="17">
        <f t="shared" si="87"/>
        <v>6</v>
      </c>
    </row>
    <row r="43" spans="1:53" ht="15.6" x14ac:dyDescent="0.3">
      <c r="A43" s="199" t="s">
        <v>46</v>
      </c>
      <c r="B43" s="94">
        <v>43862</v>
      </c>
      <c r="C43" s="94">
        <v>43890</v>
      </c>
      <c r="D43" s="107">
        <v>3000</v>
      </c>
      <c r="E43" s="96">
        <v>3260</v>
      </c>
      <c r="F43" s="97">
        <v>0</v>
      </c>
      <c r="G43" s="95">
        <v>6900</v>
      </c>
      <c r="H43" s="96">
        <v>10240</v>
      </c>
      <c r="I43" s="105">
        <v>0</v>
      </c>
      <c r="J43" s="95">
        <v>6000</v>
      </c>
      <c r="K43" s="96">
        <v>6940</v>
      </c>
      <c r="L43" s="97">
        <v>0</v>
      </c>
      <c r="M43" s="95">
        <v>5000</v>
      </c>
      <c r="N43" s="96">
        <v>7200</v>
      </c>
      <c r="O43" s="97">
        <v>0</v>
      </c>
      <c r="P43" s="95">
        <v>3000</v>
      </c>
      <c r="Q43" s="96">
        <v>4458</v>
      </c>
      <c r="R43" s="97">
        <v>0</v>
      </c>
      <c r="S43" s="95">
        <v>2000</v>
      </c>
      <c r="T43" s="96">
        <v>2550</v>
      </c>
      <c r="U43" s="97">
        <v>0</v>
      </c>
      <c r="V43" s="95">
        <v>3500</v>
      </c>
      <c r="W43" s="96">
        <v>5650</v>
      </c>
      <c r="X43" s="97">
        <v>0</v>
      </c>
      <c r="Y43" s="95">
        <v>2200</v>
      </c>
      <c r="Z43" s="96">
        <v>2200</v>
      </c>
      <c r="AA43" s="97">
        <v>0</v>
      </c>
      <c r="AB43" s="95">
        <v>2450</v>
      </c>
      <c r="AC43" s="96">
        <v>2580</v>
      </c>
      <c r="AD43" s="97">
        <v>0</v>
      </c>
      <c r="AE43" s="95">
        <v>3800</v>
      </c>
      <c r="AF43" s="96">
        <v>5240</v>
      </c>
      <c r="AG43" s="105">
        <v>0</v>
      </c>
      <c r="AH43" s="231">
        <f>+Janvier!AJ43</f>
        <v>3075.0824175824173</v>
      </c>
      <c r="AI43" s="231">
        <f>+Janvier!AK43</f>
        <v>9566.923076923078</v>
      </c>
      <c r="AJ43" s="231">
        <f>+Janvier!AL43</f>
        <v>7175.1923076923067</v>
      </c>
      <c r="AK43" s="231">
        <f>+Janvier!AM43</f>
        <v>7175.1923076923067</v>
      </c>
      <c r="AL43" s="231">
        <f>+Janvier!AN43</f>
        <v>4348.6013986013986</v>
      </c>
      <c r="AM43" s="231">
        <f>+Janvier!AO43</f>
        <v>2690.6971153846152</v>
      </c>
      <c r="AN43" s="231">
        <f>+Janvier!AP43</f>
        <v>5381.3942307692305</v>
      </c>
      <c r="AO43" s="231">
        <f>+Janvier!AQ43</f>
        <v>2690.6971153846152</v>
      </c>
      <c r="AP43" s="231">
        <f>+Janvier!AR43</f>
        <v>2690.6971153846152</v>
      </c>
      <c r="AQ43" s="231">
        <f>+Janvier!AS43</f>
        <v>4783.461538461539</v>
      </c>
      <c r="AR43" s="16">
        <f t="shared" si="78"/>
        <v>5</v>
      </c>
      <c r="AS43" s="16">
        <f t="shared" si="79"/>
        <v>5</v>
      </c>
      <c r="AT43" s="16">
        <f t="shared" si="80"/>
        <v>5</v>
      </c>
      <c r="AU43" s="16">
        <f t="shared" si="81"/>
        <v>5</v>
      </c>
      <c r="AV43" s="16">
        <f t="shared" si="82"/>
        <v>5</v>
      </c>
      <c r="AW43" s="16">
        <f t="shared" si="83"/>
        <v>5</v>
      </c>
      <c r="AX43" s="16">
        <f t="shared" si="84"/>
        <v>5</v>
      </c>
      <c r="AY43" s="16">
        <f t="shared" si="85"/>
        <v>4</v>
      </c>
      <c r="AZ43" s="16">
        <f t="shared" si="86"/>
        <v>5</v>
      </c>
      <c r="BA43" s="17">
        <f t="shared" si="87"/>
        <v>5</v>
      </c>
    </row>
    <row r="44" spans="1:53" ht="15.6" x14ac:dyDescent="0.3">
      <c r="A44" s="199" t="s">
        <v>47</v>
      </c>
      <c r="B44" s="94">
        <v>43862</v>
      </c>
      <c r="C44" s="94">
        <v>43890</v>
      </c>
      <c r="D44" s="107">
        <v>2400</v>
      </c>
      <c r="E44" s="96">
        <v>2420</v>
      </c>
      <c r="F44" s="97">
        <v>0</v>
      </c>
      <c r="G44" s="95">
        <v>5400</v>
      </c>
      <c r="H44" s="96">
        <v>7160</v>
      </c>
      <c r="I44" s="105">
        <v>0</v>
      </c>
      <c r="J44" s="95">
        <v>4540</v>
      </c>
      <c r="K44" s="96">
        <v>5140</v>
      </c>
      <c r="L44" s="97">
        <v>0</v>
      </c>
      <c r="M44" s="95">
        <v>4480</v>
      </c>
      <c r="N44" s="96">
        <v>5200</v>
      </c>
      <c r="O44" s="97">
        <v>0</v>
      </c>
      <c r="P44" s="95">
        <v>3200</v>
      </c>
      <c r="Q44" s="96">
        <v>3200</v>
      </c>
      <c r="R44" s="97">
        <v>0</v>
      </c>
      <c r="S44" s="95">
        <v>1500</v>
      </c>
      <c r="T44" s="96">
        <v>1800</v>
      </c>
      <c r="U44" s="97">
        <v>0</v>
      </c>
      <c r="V44" s="95">
        <v>2660</v>
      </c>
      <c r="W44" s="96">
        <v>4100</v>
      </c>
      <c r="X44" s="97">
        <v>0</v>
      </c>
      <c r="Y44" s="95">
        <v>1500</v>
      </c>
      <c r="Z44" s="96">
        <v>1500</v>
      </c>
      <c r="AA44" s="97">
        <v>0</v>
      </c>
      <c r="AB44" s="95">
        <v>300</v>
      </c>
      <c r="AC44" s="96">
        <v>300</v>
      </c>
      <c r="AD44" s="97">
        <v>0</v>
      </c>
      <c r="AE44" s="95">
        <v>3200</v>
      </c>
      <c r="AF44" s="96">
        <v>3780</v>
      </c>
      <c r="AG44" s="105">
        <v>0</v>
      </c>
      <c r="AH44" s="231">
        <f>+Janvier!AJ44</f>
        <v>2324.2994505494512</v>
      </c>
      <c r="AI44" s="231">
        <f>+Janvier!AK44</f>
        <v>7231.1538461538476</v>
      </c>
      <c r="AJ44" s="231">
        <f>+Janvier!AL44</f>
        <v>5423.3653846153857</v>
      </c>
      <c r="AK44" s="231">
        <f>+Janvier!AM44</f>
        <v>5423.3653846153857</v>
      </c>
      <c r="AL44" s="231">
        <f>+Janvier!AN44</f>
        <v>3286.8881118881118</v>
      </c>
      <c r="AM44" s="231">
        <f>+Janvier!AO44</f>
        <v>2033.7620192307693</v>
      </c>
      <c r="AN44" s="231">
        <f>+Janvier!AP44</f>
        <v>4067.5240384615386</v>
      </c>
      <c r="AO44" s="231">
        <f>+Janvier!AQ44</f>
        <v>2033.7620192307693</v>
      </c>
      <c r="AP44" s="231">
        <f>+Janvier!AR44</f>
        <v>2033.7620192307693</v>
      </c>
      <c r="AQ44" s="231">
        <f>+Janvier!AS44</f>
        <v>3615.5769230769238</v>
      </c>
      <c r="AR44" s="16">
        <f t="shared" si="78"/>
        <v>5</v>
      </c>
      <c r="AS44" s="16">
        <f t="shared" si="79"/>
        <v>5</v>
      </c>
      <c r="AT44" s="16">
        <f t="shared" si="80"/>
        <v>5</v>
      </c>
      <c r="AU44" s="16">
        <f t="shared" si="81"/>
        <v>5</v>
      </c>
      <c r="AV44" s="16">
        <f t="shared" si="82"/>
        <v>5</v>
      </c>
      <c r="AW44" s="16">
        <f t="shared" si="83"/>
        <v>4</v>
      </c>
      <c r="AX44" s="16">
        <f t="shared" si="84"/>
        <v>5</v>
      </c>
      <c r="AY44" s="16">
        <f t="shared" si="85"/>
        <v>4</v>
      </c>
      <c r="AZ44" s="16">
        <f t="shared" si="86"/>
        <v>1</v>
      </c>
      <c r="BA44" s="17">
        <f t="shared" si="87"/>
        <v>5</v>
      </c>
    </row>
    <row r="45" spans="1:53" ht="15.6" x14ac:dyDescent="0.3">
      <c r="A45" s="199" t="s">
        <v>48</v>
      </c>
      <c r="B45" s="94">
        <v>43862</v>
      </c>
      <c r="C45" s="94">
        <v>43890</v>
      </c>
      <c r="D45" s="107">
        <v>2000</v>
      </c>
      <c r="E45" s="96">
        <v>2540</v>
      </c>
      <c r="F45" s="97">
        <v>0</v>
      </c>
      <c r="G45" s="95">
        <v>5560</v>
      </c>
      <c r="H45" s="96">
        <v>7900</v>
      </c>
      <c r="I45" s="105">
        <v>0</v>
      </c>
      <c r="J45" s="95">
        <v>4400</v>
      </c>
      <c r="K45" s="96">
        <v>5590</v>
      </c>
      <c r="L45" s="97">
        <v>0</v>
      </c>
      <c r="M45" s="95">
        <v>4300</v>
      </c>
      <c r="N45" s="96">
        <v>5536</v>
      </c>
      <c r="O45" s="97">
        <v>0</v>
      </c>
      <c r="P45" s="95">
        <v>2500</v>
      </c>
      <c r="Q45" s="96">
        <v>3409</v>
      </c>
      <c r="R45" s="97">
        <v>0</v>
      </c>
      <c r="S45" s="95">
        <v>1500</v>
      </c>
      <c r="T45" s="96">
        <v>2020</v>
      </c>
      <c r="U45" s="97">
        <v>0</v>
      </c>
      <c r="V45" s="95">
        <v>3000</v>
      </c>
      <c r="W45" s="96">
        <v>4430</v>
      </c>
      <c r="X45" s="97">
        <v>0</v>
      </c>
      <c r="Y45" s="95">
        <v>1400</v>
      </c>
      <c r="Z45" s="96">
        <v>1700</v>
      </c>
      <c r="AA45" s="97">
        <v>0</v>
      </c>
      <c r="AB45" s="95">
        <v>200</v>
      </c>
      <c r="AC45" s="96">
        <v>200</v>
      </c>
      <c r="AD45" s="97">
        <v>0</v>
      </c>
      <c r="AE45" s="95">
        <v>2200</v>
      </c>
      <c r="AF45" s="96">
        <v>3980</v>
      </c>
      <c r="AG45" s="105">
        <v>0</v>
      </c>
      <c r="AH45" s="231">
        <f>+Janvier!AJ45</f>
        <v>2327.5137362637361</v>
      </c>
      <c r="AI45" s="231">
        <f>+Janvier!AK45</f>
        <v>7241.1538461538466</v>
      </c>
      <c r="AJ45" s="231">
        <f>+Janvier!AL45</f>
        <v>5430.8653846153829</v>
      </c>
      <c r="AK45" s="231">
        <f>+Janvier!AM45</f>
        <v>5430.8653846153829</v>
      </c>
      <c r="AL45" s="231">
        <f>+Janvier!AN45</f>
        <v>3291.4335664335663</v>
      </c>
      <c r="AM45" s="231">
        <f>+Janvier!AO45</f>
        <v>2036.5745192307693</v>
      </c>
      <c r="AN45" s="231">
        <f>+Janvier!AP45</f>
        <v>4073.1490384615386</v>
      </c>
      <c r="AO45" s="231">
        <f>+Janvier!AQ45</f>
        <v>2036.5745192307693</v>
      </c>
      <c r="AP45" s="231">
        <f>+Janvier!AR45</f>
        <v>2036.5745192307693</v>
      </c>
      <c r="AQ45" s="231">
        <f>+Janvier!AS45</f>
        <v>3620.5769230769233</v>
      </c>
      <c r="AR45" s="16">
        <f t="shared" si="78"/>
        <v>5</v>
      </c>
      <c r="AS45" s="16">
        <f t="shared" si="79"/>
        <v>5</v>
      </c>
      <c r="AT45" s="16">
        <f t="shared" si="80"/>
        <v>5</v>
      </c>
      <c r="AU45" s="16">
        <f t="shared" si="81"/>
        <v>5</v>
      </c>
      <c r="AV45" s="16">
        <f t="shared" si="82"/>
        <v>5</v>
      </c>
      <c r="AW45" s="16">
        <f t="shared" si="83"/>
        <v>5</v>
      </c>
      <c r="AX45" s="16">
        <f t="shared" si="84"/>
        <v>5</v>
      </c>
      <c r="AY45" s="16">
        <f t="shared" si="85"/>
        <v>4</v>
      </c>
      <c r="AZ45" s="16">
        <f t="shared" si="86"/>
        <v>0</v>
      </c>
      <c r="BA45" s="17">
        <f t="shared" si="87"/>
        <v>5</v>
      </c>
    </row>
    <row r="46" spans="1:53" ht="15.6" x14ac:dyDescent="0.3">
      <c r="A46" s="199" t="s">
        <v>49</v>
      </c>
      <c r="B46" s="94">
        <v>43862</v>
      </c>
      <c r="C46" s="94">
        <v>43890</v>
      </c>
      <c r="D46" s="107">
        <v>2000</v>
      </c>
      <c r="E46" s="96">
        <v>2420</v>
      </c>
      <c r="F46" s="97">
        <v>0</v>
      </c>
      <c r="G46" s="95">
        <v>6000</v>
      </c>
      <c r="H46" s="96">
        <v>6520</v>
      </c>
      <c r="I46" s="105">
        <v>0</v>
      </c>
      <c r="J46" s="95">
        <v>4200</v>
      </c>
      <c r="K46" s="96">
        <v>5240</v>
      </c>
      <c r="L46" s="97">
        <v>0</v>
      </c>
      <c r="M46" s="95">
        <v>4200</v>
      </c>
      <c r="N46" s="96">
        <v>5360</v>
      </c>
      <c r="O46" s="97">
        <v>0</v>
      </c>
      <c r="P46" s="95">
        <v>2700</v>
      </c>
      <c r="Q46" s="96">
        <v>3249</v>
      </c>
      <c r="R46" s="97">
        <v>0</v>
      </c>
      <c r="S46" s="95">
        <v>1300</v>
      </c>
      <c r="T46" s="96">
        <v>1860</v>
      </c>
      <c r="U46" s="97">
        <v>0</v>
      </c>
      <c r="V46" s="95">
        <v>2600</v>
      </c>
      <c r="W46" s="96">
        <v>4200</v>
      </c>
      <c r="X46" s="97">
        <v>0</v>
      </c>
      <c r="Y46" s="95">
        <v>1600</v>
      </c>
      <c r="Z46" s="96">
        <v>1600</v>
      </c>
      <c r="AA46" s="97">
        <v>0</v>
      </c>
      <c r="AB46" s="95">
        <v>200</v>
      </c>
      <c r="AC46" s="96">
        <v>200</v>
      </c>
      <c r="AD46" s="97">
        <v>4</v>
      </c>
      <c r="AE46" s="95">
        <v>2800</v>
      </c>
      <c r="AF46" s="96">
        <v>3790</v>
      </c>
      <c r="AG46" s="105">
        <v>0</v>
      </c>
      <c r="AH46" s="231">
        <f>+Janvier!AJ46</f>
        <v>2160.3708791208792</v>
      </c>
      <c r="AI46" s="231">
        <f>+Janvier!AK46</f>
        <v>6721.1538461538466</v>
      </c>
      <c r="AJ46" s="231">
        <f>+Janvier!AL46</f>
        <v>5040.8653846153848</v>
      </c>
      <c r="AK46" s="231">
        <f>+Janvier!AM46</f>
        <v>5040.8653846153848</v>
      </c>
      <c r="AL46" s="231">
        <f>+Janvier!AN46</f>
        <v>3055.0699300699303</v>
      </c>
      <c r="AM46" s="231">
        <f>+Janvier!AO46</f>
        <v>1890.3245192307693</v>
      </c>
      <c r="AN46" s="231">
        <f>+Janvier!AP46</f>
        <v>3780.6490384615386</v>
      </c>
      <c r="AO46" s="231">
        <f>+Janvier!AQ46</f>
        <v>1890.3245192307693</v>
      </c>
      <c r="AP46" s="231">
        <f>+Janvier!AR46</f>
        <v>1890.3245192307693</v>
      </c>
      <c r="AQ46" s="231">
        <f>+Janvier!AS46</f>
        <v>3360.5769230769233</v>
      </c>
      <c r="AR46" s="16">
        <f t="shared" si="78"/>
        <v>6</v>
      </c>
      <c r="AS46" s="16">
        <f t="shared" si="79"/>
        <v>5</v>
      </c>
      <c r="AT46" s="16">
        <f t="shared" si="80"/>
        <v>5</v>
      </c>
      <c r="AU46" s="16">
        <f t="shared" si="81"/>
        <v>5</v>
      </c>
      <c r="AV46" s="16">
        <f t="shared" si="82"/>
        <v>5</v>
      </c>
      <c r="AW46" s="16">
        <f t="shared" si="83"/>
        <v>5</v>
      </c>
      <c r="AX46" s="16">
        <f t="shared" si="84"/>
        <v>6</v>
      </c>
      <c r="AY46" s="16">
        <f t="shared" si="85"/>
        <v>4</v>
      </c>
      <c r="AZ46" s="16">
        <f t="shared" si="86"/>
        <v>1</v>
      </c>
      <c r="BA46" s="17">
        <f t="shared" si="87"/>
        <v>6</v>
      </c>
    </row>
    <row r="47" spans="1:53" ht="15.6" x14ac:dyDescent="0.3">
      <c r="A47" s="199" t="s">
        <v>50</v>
      </c>
      <c r="B47" s="94">
        <v>43862</v>
      </c>
      <c r="C47" s="94">
        <v>43890</v>
      </c>
      <c r="D47" s="107">
        <v>3400</v>
      </c>
      <c r="E47" s="96">
        <v>3760</v>
      </c>
      <c r="F47" s="97">
        <v>0</v>
      </c>
      <c r="G47" s="95">
        <v>7560</v>
      </c>
      <c r="H47" s="96">
        <v>11660</v>
      </c>
      <c r="I47" s="105">
        <v>0</v>
      </c>
      <c r="J47" s="95">
        <v>6150</v>
      </c>
      <c r="K47" s="96">
        <v>8380</v>
      </c>
      <c r="L47" s="97">
        <v>4</v>
      </c>
      <c r="M47" s="95">
        <v>6656</v>
      </c>
      <c r="N47" s="96">
        <v>8380</v>
      </c>
      <c r="O47" s="97">
        <v>0</v>
      </c>
      <c r="P47" s="95">
        <v>4528</v>
      </c>
      <c r="Q47" s="96">
        <v>5500</v>
      </c>
      <c r="R47" s="97">
        <v>0</v>
      </c>
      <c r="S47" s="95">
        <v>2530</v>
      </c>
      <c r="T47" s="96">
        <v>2930</v>
      </c>
      <c r="U47" s="97">
        <v>0</v>
      </c>
      <c r="V47" s="95">
        <v>4160</v>
      </c>
      <c r="W47" s="96">
        <v>6560</v>
      </c>
      <c r="X47" s="97">
        <v>0</v>
      </c>
      <c r="Y47" s="95">
        <v>2850</v>
      </c>
      <c r="Z47" s="96">
        <v>2850</v>
      </c>
      <c r="AA47" s="97">
        <v>0</v>
      </c>
      <c r="AB47" s="95">
        <v>0</v>
      </c>
      <c r="AC47" s="96">
        <v>440</v>
      </c>
      <c r="AD47" s="97">
        <v>0</v>
      </c>
      <c r="AE47" s="95">
        <v>5830</v>
      </c>
      <c r="AF47" s="96">
        <v>6420</v>
      </c>
      <c r="AG47" s="105">
        <v>0</v>
      </c>
      <c r="AH47" s="231">
        <f>+Janvier!AJ47</f>
        <v>3766.7719780219786</v>
      </c>
      <c r="AI47" s="231">
        <f>+Janvier!AK47</f>
        <v>11718.846153846154</v>
      </c>
      <c r="AJ47" s="231">
        <f>+Janvier!AL47</f>
        <v>8789.1346153846171</v>
      </c>
      <c r="AK47" s="231">
        <f>+Janvier!AM47</f>
        <v>8789.1346153846171</v>
      </c>
      <c r="AL47" s="231">
        <f>+Janvier!AN47</f>
        <v>5326.7482517482513</v>
      </c>
      <c r="AM47" s="231">
        <f>+Janvier!AO47</f>
        <v>3295.9254807692309</v>
      </c>
      <c r="AN47" s="231">
        <f>+Janvier!AP47</f>
        <v>6591.8509615384619</v>
      </c>
      <c r="AO47" s="231">
        <f>+Janvier!AQ47</f>
        <v>3295.9254807692309</v>
      </c>
      <c r="AP47" s="231">
        <f>+Janvier!AR47</f>
        <v>3295.9254807692309</v>
      </c>
      <c r="AQ47" s="231">
        <f>+Janvier!AS47</f>
        <v>5859.4230769230771</v>
      </c>
      <c r="AR47" s="16">
        <f t="shared" si="78"/>
        <v>5</v>
      </c>
      <c r="AS47" s="16">
        <f t="shared" si="79"/>
        <v>5</v>
      </c>
      <c r="AT47" s="16">
        <f t="shared" si="80"/>
        <v>5</v>
      </c>
      <c r="AU47" s="16">
        <f t="shared" si="81"/>
        <v>5</v>
      </c>
      <c r="AV47" s="16">
        <f t="shared" si="82"/>
        <v>5</v>
      </c>
      <c r="AW47" s="16">
        <f t="shared" si="83"/>
        <v>4</v>
      </c>
      <c r="AX47" s="16">
        <f t="shared" si="84"/>
        <v>5</v>
      </c>
      <c r="AY47" s="16">
        <f t="shared" si="85"/>
        <v>4</v>
      </c>
      <c r="AZ47" s="16">
        <f t="shared" si="86"/>
        <v>1</v>
      </c>
      <c r="BA47" s="17">
        <f t="shared" si="87"/>
        <v>5</v>
      </c>
    </row>
    <row r="48" spans="1:53" ht="15.6" x14ac:dyDescent="0.3">
      <c r="A48" s="199" t="s">
        <v>56</v>
      </c>
      <c r="B48" s="94">
        <v>43862</v>
      </c>
      <c r="C48" s="94">
        <v>43890</v>
      </c>
      <c r="D48" s="107">
        <v>1260</v>
      </c>
      <c r="E48" s="96">
        <v>1740</v>
      </c>
      <c r="F48" s="97">
        <v>0</v>
      </c>
      <c r="G48" s="95">
        <v>3400</v>
      </c>
      <c r="H48" s="96">
        <v>5280</v>
      </c>
      <c r="I48" s="105">
        <v>0</v>
      </c>
      <c r="J48" s="95">
        <v>2570</v>
      </c>
      <c r="K48" s="96">
        <v>3960</v>
      </c>
      <c r="L48" s="97">
        <v>0</v>
      </c>
      <c r="M48" s="95">
        <v>2544</v>
      </c>
      <c r="N48" s="96">
        <v>3860</v>
      </c>
      <c r="O48" s="97">
        <v>0</v>
      </c>
      <c r="P48" s="95">
        <v>1589</v>
      </c>
      <c r="Q48" s="96">
        <v>2537</v>
      </c>
      <c r="R48" s="97">
        <v>0</v>
      </c>
      <c r="S48" s="95">
        <v>830</v>
      </c>
      <c r="T48" s="96">
        <v>1320</v>
      </c>
      <c r="U48" s="97">
        <v>0</v>
      </c>
      <c r="V48" s="95">
        <v>1300</v>
      </c>
      <c r="W48" s="96">
        <v>3070</v>
      </c>
      <c r="X48" s="97">
        <v>0</v>
      </c>
      <c r="Y48" s="95">
        <v>1110</v>
      </c>
      <c r="Z48" s="96">
        <v>1110</v>
      </c>
      <c r="AA48" s="97">
        <v>0</v>
      </c>
      <c r="AB48" s="95">
        <v>0</v>
      </c>
      <c r="AC48" s="96">
        <v>0</v>
      </c>
      <c r="AD48" s="97">
        <v>4</v>
      </c>
      <c r="AE48" s="95">
        <v>1300</v>
      </c>
      <c r="AF48" s="96">
        <v>2650</v>
      </c>
      <c r="AG48" s="105">
        <v>0</v>
      </c>
      <c r="AH48" s="231">
        <f>+Janvier!AJ48</f>
        <v>1604.6703296703297</v>
      </c>
      <c r="AI48" s="231">
        <f>+Janvier!AK48</f>
        <v>4992.3076923076924</v>
      </c>
      <c r="AJ48" s="231">
        <f>+Janvier!AL48</f>
        <v>3744.2307692307691</v>
      </c>
      <c r="AK48" s="231">
        <f>+Janvier!AM48</f>
        <v>3744.2307692307691</v>
      </c>
      <c r="AL48" s="231">
        <f>+Janvier!AN48</f>
        <v>2269.2307692307695</v>
      </c>
      <c r="AM48" s="231">
        <f>+Janvier!AO48</f>
        <v>1404.0865384615383</v>
      </c>
      <c r="AN48" s="231">
        <f>+Janvier!AP48</f>
        <v>2808.1730769230767</v>
      </c>
      <c r="AO48" s="231">
        <f>+Janvier!AQ48</f>
        <v>1404.0865384615383</v>
      </c>
      <c r="AP48" s="231">
        <f>+Janvier!AR48</f>
        <v>1404.0865384615383</v>
      </c>
      <c r="AQ48" s="231">
        <f>+Janvier!AS48</f>
        <v>2496.1538461538462</v>
      </c>
      <c r="AR48" s="16">
        <f t="shared" si="78"/>
        <v>5</v>
      </c>
      <c r="AS48" s="16">
        <f t="shared" si="79"/>
        <v>5</v>
      </c>
      <c r="AT48" s="16">
        <f t="shared" si="80"/>
        <v>5</v>
      </c>
      <c r="AU48" s="16">
        <f t="shared" si="81"/>
        <v>5</v>
      </c>
      <c r="AV48" s="16">
        <f t="shared" si="82"/>
        <v>6</v>
      </c>
      <c r="AW48" s="16">
        <f t="shared" si="83"/>
        <v>5</v>
      </c>
      <c r="AX48" s="16">
        <f t="shared" si="84"/>
        <v>5</v>
      </c>
      <c r="AY48" s="16">
        <f t="shared" si="85"/>
        <v>4</v>
      </c>
      <c r="AZ48" s="16">
        <f t="shared" si="86"/>
        <v>0</v>
      </c>
      <c r="BA48" s="17">
        <f t="shared" si="87"/>
        <v>5</v>
      </c>
    </row>
    <row r="49" spans="1:53" ht="15.6" x14ac:dyDescent="0.3">
      <c r="A49" s="199" t="s">
        <v>51</v>
      </c>
      <c r="B49" s="94">
        <v>43862</v>
      </c>
      <c r="C49" s="94">
        <v>43890</v>
      </c>
      <c r="D49" s="107">
        <v>1060</v>
      </c>
      <c r="E49" s="96">
        <v>1120</v>
      </c>
      <c r="F49" s="97">
        <v>0</v>
      </c>
      <c r="G49" s="95">
        <v>2360</v>
      </c>
      <c r="H49" s="96">
        <v>3280</v>
      </c>
      <c r="I49" s="105">
        <v>0</v>
      </c>
      <c r="J49" s="95">
        <v>2280</v>
      </c>
      <c r="K49" s="96">
        <v>2400</v>
      </c>
      <c r="L49" s="97">
        <v>0</v>
      </c>
      <c r="M49" s="95">
        <v>888</v>
      </c>
      <c r="N49" s="96">
        <v>2380</v>
      </c>
      <c r="O49" s="97">
        <v>0</v>
      </c>
      <c r="P49" s="95">
        <v>1340</v>
      </c>
      <c r="Q49" s="96">
        <v>1480</v>
      </c>
      <c r="R49" s="97">
        <v>0</v>
      </c>
      <c r="S49" s="95">
        <v>810</v>
      </c>
      <c r="T49" s="96">
        <v>840</v>
      </c>
      <c r="U49" s="97">
        <v>0</v>
      </c>
      <c r="V49" s="95">
        <v>1490</v>
      </c>
      <c r="W49" s="96">
        <v>1880</v>
      </c>
      <c r="X49" s="97">
        <v>0</v>
      </c>
      <c r="Y49" s="95">
        <v>700</v>
      </c>
      <c r="Z49" s="96">
        <v>770</v>
      </c>
      <c r="AA49" s="97">
        <v>0</v>
      </c>
      <c r="AB49" s="95">
        <v>0</v>
      </c>
      <c r="AC49" s="96">
        <v>450</v>
      </c>
      <c r="AD49" s="97">
        <v>0</v>
      </c>
      <c r="AE49" s="95">
        <v>1600</v>
      </c>
      <c r="AF49" s="96">
        <v>1660</v>
      </c>
      <c r="AG49" s="105">
        <v>0</v>
      </c>
      <c r="AH49" s="231">
        <f>+Janvier!AJ49</f>
        <v>1032.2802197802198</v>
      </c>
      <c r="AI49" s="231">
        <f>+Janvier!AK49</f>
        <v>3211.5384615384614</v>
      </c>
      <c r="AJ49" s="231">
        <f>+Janvier!AL49</f>
        <v>2408.6538461538462</v>
      </c>
      <c r="AK49" s="231">
        <f>+Janvier!AM49</f>
        <v>2408.6538461538462</v>
      </c>
      <c r="AL49" s="231">
        <f>+Janvier!AN49</f>
        <v>1459.7902097902099</v>
      </c>
      <c r="AM49" s="231">
        <f>+Janvier!AO49</f>
        <v>903.24519230769226</v>
      </c>
      <c r="AN49" s="231">
        <f>+Janvier!AP49</f>
        <v>1806.4903846153845</v>
      </c>
      <c r="AO49" s="231">
        <f>+Janvier!AQ49</f>
        <v>903.24519230769226</v>
      </c>
      <c r="AP49" s="231">
        <f>+Janvier!AR49</f>
        <v>903.24519230769226</v>
      </c>
      <c r="AQ49" s="231">
        <f>+Janvier!AS49</f>
        <v>1605.7692307692307</v>
      </c>
      <c r="AR49" s="16">
        <f t="shared" si="78"/>
        <v>5</v>
      </c>
      <c r="AS49" s="16">
        <f t="shared" si="79"/>
        <v>5</v>
      </c>
      <c r="AT49" s="16">
        <f t="shared" si="80"/>
        <v>5</v>
      </c>
      <c r="AU49" s="16">
        <f t="shared" si="81"/>
        <v>5</v>
      </c>
      <c r="AV49" s="16">
        <f t="shared" si="82"/>
        <v>5</v>
      </c>
      <c r="AW49" s="16">
        <f t="shared" si="83"/>
        <v>5</v>
      </c>
      <c r="AX49" s="16">
        <f t="shared" si="84"/>
        <v>5</v>
      </c>
      <c r="AY49" s="16">
        <f t="shared" si="85"/>
        <v>4</v>
      </c>
      <c r="AZ49" s="16">
        <f t="shared" si="86"/>
        <v>2</v>
      </c>
      <c r="BA49" s="17">
        <f t="shared" si="87"/>
        <v>5</v>
      </c>
    </row>
    <row r="50" spans="1:53" ht="15.6" x14ac:dyDescent="0.3">
      <c r="A50" s="199" t="s">
        <v>52</v>
      </c>
      <c r="B50" s="94">
        <v>43862</v>
      </c>
      <c r="C50" s="94">
        <v>43890</v>
      </c>
      <c r="D50" s="107">
        <v>2100</v>
      </c>
      <c r="E50" s="96">
        <v>3060</v>
      </c>
      <c r="F50" s="97">
        <v>0</v>
      </c>
      <c r="G50" s="95">
        <v>7000</v>
      </c>
      <c r="H50" s="96">
        <v>9900</v>
      </c>
      <c r="I50" s="105">
        <v>0</v>
      </c>
      <c r="J50" s="95">
        <v>4600</v>
      </c>
      <c r="K50" s="96">
        <v>7010</v>
      </c>
      <c r="L50" s="97">
        <v>0</v>
      </c>
      <c r="M50" s="95">
        <v>3552</v>
      </c>
      <c r="N50" s="96">
        <v>7152</v>
      </c>
      <c r="O50" s="97">
        <v>0</v>
      </c>
      <c r="P50" s="95">
        <v>2450</v>
      </c>
      <c r="Q50" s="96">
        <v>4350</v>
      </c>
      <c r="R50" s="97">
        <v>0</v>
      </c>
      <c r="S50" s="95">
        <v>860</v>
      </c>
      <c r="T50" s="96">
        <v>2500</v>
      </c>
      <c r="U50" s="97">
        <v>0</v>
      </c>
      <c r="V50" s="95">
        <v>3200</v>
      </c>
      <c r="W50" s="96">
        <v>5440</v>
      </c>
      <c r="X50" s="97">
        <v>0</v>
      </c>
      <c r="Y50" s="95">
        <v>2100</v>
      </c>
      <c r="Z50" s="96">
        <v>2100</v>
      </c>
      <c r="AA50" s="97">
        <v>0</v>
      </c>
      <c r="AB50" s="95">
        <v>2500</v>
      </c>
      <c r="AC50" s="96">
        <v>250</v>
      </c>
      <c r="AD50" s="97">
        <v>0</v>
      </c>
      <c r="AE50" s="95">
        <v>3700</v>
      </c>
      <c r="AF50" s="96">
        <v>4970</v>
      </c>
      <c r="AG50" s="105">
        <v>0</v>
      </c>
      <c r="AH50" s="231">
        <f>+Janvier!AJ50</f>
        <v>2981.6208791208792</v>
      </c>
      <c r="AI50" s="231">
        <f>+Janvier!AK50</f>
        <v>9276.1538461538476</v>
      </c>
      <c r="AJ50" s="231">
        <f>+Janvier!AL50</f>
        <v>6957.1153846153857</v>
      </c>
      <c r="AK50" s="231">
        <f>+Janvier!AM50</f>
        <v>6957.1153846153857</v>
      </c>
      <c r="AL50" s="231">
        <f>+Janvier!AN50</f>
        <v>4216.4335664335667</v>
      </c>
      <c r="AM50" s="231">
        <f>+Janvier!AO50</f>
        <v>2608.9182692307691</v>
      </c>
      <c r="AN50" s="231">
        <f>+Janvier!AP50</f>
        <v>5217.8365384615381</v>
      </c>
      <c r="AO50" s="231">
        <f>+Janvier!AQ50</f>
        <v>2608.9182692307691</v>
      </c>
      <c r="AP50" s="231">
        <f>+Janvier!AR50</f>
        <v>2608.9182692307691</v>
      </c>
      <c r="AQ50" s="231">
        <f>+Janvier!AS50</f>
        <v>4638.0769230769238</v>
      </c>
      <c r="AR50" s="16">
        <f t="shared" si="78"/>
        <v>5</v>
      </c>
      <c r="AS50" s="16">
        <f t="shared" si="79"/>
        <v>5</v>
      </c>
      <c r="AT50" s="16">
        <f t="shared" si="80"/>
        <v>5</v>
      </c>
      <c r="AU50" s="16">
        <f t="shared" si="81"/>
        <v>5</v>
      </c>
      <c r="AV50" s="16">
        <f t="shared" si="82"/>
        <v>5</v>
      </c>
      <c r="AW50" s="16">
        <f t="shared" si="83"/>
        <v>5</v>
      </c>
      <c r="AX50" s="16">
        <f t="shared" si="84"/>
        <v>5</v>
      </c>
      <c r="AY50" s="16">
        <f t="shared" si="85"/>
        <v>4</v>
      </c>
      <c r="AZ50" s="16">
        <f t="shared" si="86"/>
        <v>0</v>
      </c>
      <c r="BA50" s="17">
        <f t="shared" si="87"/>
        <v>5</v>
      </c>
    </row>
    <row r="51" spans="1:53" ht="15.6" x14ac:dyDescent="0.3">
      <c r="A51" s="199" t="s">
        <v>53</v>
      </c>
      <c r="B51" s="94">
        <v>43862</v>
      </c>
      <c r="C51" s="94">
        <v>43890</v>
      </c>
      <c r="D51" s="107">
        <v>180</v>
      </c>
      <c r="E51" s="96">
        <v>180</v>
      </c>
      <c r="F51" s="97">
        <v>0</v>
      </c>
      <c r="G51" s="95">
        <v>540</v>
      </c>
      <c r="H51" s="96">
        <v>580</v>
      </c>
      <c r="I51" s="105">
        <v>0</v>
      </c>
      <c r="J51" s="95">
        <v>420</v>
      </c>
      <c r="K51" s="96">
        <v>420</v>
      </c>
      <c r="L51" s="97">
        <v>0</v>
      </c>
      <c r="M51" s="95">
        <v>300</v>
      </c>
      <c r="N51" s="96">
        <v>404</v>
      </c>
      <c r="O51" s="97">
        <v>0</v>
      </c>
      <c r="P51" s="95">
        <v>200</v>
      </c>
      <c r="Q51" s="96">
        <v>246</v>
      </c>
      <c r="R51" s="97">
        <v>0</v>
      </c>
      <c r="S51" s="95">
        <v>130</v>
      </c>
      <c r="T51" s="96">
        <v>140</v>
      </c>
      <c r="U51" s="97">
        <v>0</v>
      </c>
      <c r="V51" s="95">
        <v>260</v>
      </c>
      <c r="W51" s="96">
        <v>320</v>
      </c>
      <c r="X51" s="97">
        <v>0</v>
      </c>
      <c r="Y51" s="95">
        <v>110</v>
      </c>
      <c r="Z51" s="96">
        <v>110</v>
      </c>
      <c r="AA51" s="97">
        <v>0</v>
      </c>
      <c r="AB51" s="95">
        <v>0</v>
      </c>
      <c r="AC51" s="96">
        <v>0</v>
      </c>
      <c r="AD51" s="97">
        <v>4</v>
      </c>
      <c r="AE51" s="95">
        <v>260</v>
      </c>
      <c r="AF51" s="96">
        <v>280</v>
      </c>
      <c r="AG51" s="105">
        <v>0</v>
      </c>
      <c r="AH51" s="231">
        <f>+Janvier!AJ51</f>
        <v>168.87362637362639</v>
      </c>
      <c r="AI51" s="231">
        <f>+Janvier!AK51</f>
        <v>525.38461538461547</v>
      </c>
      <c r="AJ51" s="231">
        <f>+Janvier!AL51</f>
        <v>394.0384615384616</v>
      </c>
      <c r="AK51" s="231">
        <f>+Janvier!AM51</f>
        <v>394.0384615384616</v>
      </c>
      <c r="AL51" s="231">
        <f>+Janvier!AN51</f>
        <v>238.81118881118883</v>
      </c>
      <c r="AM51" s="231">
        <f>+Janvier!AO51</f>
        <v>147.76442307692309</v>
      </c>
      <c r="AN51" s="231">
        <f>+Janvier!AP51</f>
        <v>295.52884615384619</v>
      </c>
      <c r="AO51" s="231">
        <f>+Janvier!AQ51</f>
        <v>147.76442307692309</v>
      </c>
      <c r="AP51" s="231">
        <f>+Janvier!AR51</f>
        <v>147.76442307692309</v>
      </c>
      <c r="AQ51" s="231">
        <f>+Janvier!AS51</f>
        <v>262.69230769230774</v>
      </c>
      <c r="AR51" s="16">
        <f t="shared" si="78"/>
        <v>5</v>
      </c>
      <c r="AS51" s="16">
        <f t="shared" si="79"/>
        <v>6</v>
      </c>
      <c r="AT51" s="16">
        <f t="shared" si="80"/>
        <v>5</v>
      </c>
      <c r="AU51" s="16">
        <f t="shared" si="81"/>
        <v>5</v>
      </c>
      <c r="AV51" s="16">
        <f t="shared" si="82"/>
        <v>5</v>
      </c>
      <c r="AW51" s="16">
        <f t="shared" si="83"/>
        <v>5</v>
      </c>
      <c r="AX51" s="16">
        <f t="shared" si="84"/>
        <v>5</v>
      </c>
      <c r="AY51" s="16">
        <f t="shared" si="85"/>
        <v>4</v>
      </c>
      <c r="AZ51" s="16">
        <f t="shared" si="86"/>
        <v>0</v>
      </c>
      <c r="BA51" s="17">
        <f t="shared" si="87"/>
        <v>5</v>
      </c>
    </row>
    <row r="52" spans="1:53" ht="15.6" x14ac:dyDescent="0.3">
      <c r="A52" s="199" t="s">
        <v>54</v>
      </c>
      <c r="B52" s="94">
        <v>43862</v>
      </c>
      <c r="C52" s="94">
        <v>43890</v>
      </c>
      <c r="D52" s="107">
        <v>1060</v>
      </c>
      <c r="E52" s="96">
        <v>1120</v>
      </c>
      <c r="F52" s="97">
        <v>0</v>
      </c>
      <c r="G52" s="95">
        <v>2360</v>
      </c>
      <c r="H52" s="96">
        <v>3200</v>
      </c>
      <c r="I52" s="105">
        <v>0</v>
      </c>
      <c r="J52" s="95">
        <v>2280</v>
      </c>
      <c r="K52" s="96">
        <v>2400</v>
      </c>
      <c r="L52" s="97">
        <v>0</v>
      </c>
      <c r="M52" s="95">
        <v>1652</v>
      </c>
      <c r="N52" s="96">
        <v>2380</v>
      </c>
      <c r="O52" s="97">
        <v>0</v>
      </c>
      <c r="P52" s="95">
        <v>731</v>
      </c>
      <c r="Q52" s="96">
        <v>1340</v>
      </c>
      <c r="R52" s="97">
        <v>0</v>
      </c>
      <c r="S52" s="95">
        <v>470</v>
      </c>
      <c r="T52" s="96">
        <v>780</v>
      </c>
      <c r="U52" s="97">
        <v>0</v>
      </c>
      <c r="V52" s="95">
        <v>270</v>
      </c>
      <c r="W52" s="96">
        <v>1700</v>
      </c>
      <c r="X52" s="97">
        <v>0</v>
      </c>
      <c r="Y52" s="95">
        <v>800</v>
      </c>
      <c r="Z52" s="96">
        <v>760</v>
      </c>
      <c r="AA52" s="97">
        <v>0</v>
      </c>
      <c r="AB52" s="95">
        <v>0</v>
      </c>
      <c r="AC52" s="96">
        <v>80</v>
      </c>
      <c r="AD52" s="97">
        <v>30</v>
      </c>
      <c r="AE52" s="95">
        <v>1260</v>
      </c>
      <c r="AF52" s="96">
        <v>1680</v>
      </c>
      <c r="AG52" s="105">
        <v>0</v>
      </c>
      <c r="AH52" s="231">
        <f>+Janvier!AJ52</f>
        <v>1001.7445054945053</v>
      </c>
      <c r="AI52" s="231">
        <f>+Janvier!AK52</f>
        <v>3116.5384615384614</v>
      </c>
      <c r="AJ52" s="231">
        <f>+Janvier!AL52</f>
        <v>2337.4038461538462</v>
      </c>
      <c r="AK52" s="231">
        <f>+Janvier!AM52</f>
        <v>2337.4038461538462</v>
      </c>
      <c r="AL52" s="231">
        <f>+Janvier!AN52</f>
        <v>1416.6083916083917</v>
      </c>
      <c r="AM52" s="231">
        <f>+Janvier!AO52</f>
        <v>876.52644230769226</v>
      </c>
      <c r="AN52" s="231">
        <f>+Janvier!AP52</f>
        <v>1753.0528846153845</v>
      </c>
      <c r="AO52" s="231">
        <f>+Janvier!AQ52</f>
        <v>876.52644230769226</v>
      </c>
      <c r="AP52" s="231">
        <f>+Janvier!AR52</f>
        <v>876.52644230769226</v>
      </c>
      <c r="AQ52" s="231">
        <f>+Janvier!AS52</f>
        <v>1558.2692307692307</v>
      </c>
      <c r="AR52" s="16">
        <f t="shared" si="78"/>
        <v>6</v>
      </c>
      <c r="AS52" s="16">
        <f t="shared" si="79"/>
        <v>5</v>
      </c>
      <c r="AT52" s="16">
        <f t="shared" si="80"/>
        <v>5</v>
      </c>
      <c r="AU52" s="16">
        <f t="shared" si="81"/>
        <v>5</v>
      </c>
      <c r="AV52" s="16">
        <f t="shared" si="82"/>
        <v>5</v>
      </c>
      <c r="AW52" s="16">
        <f t="shared" si="83"/>
        <v>4</v>
      </c>
      <c r="AX52" s="16">
        <f t="shared" si="84"/>
        <v>5</v>
      </c>
      <c r="AY52" s="16">
        <f t="shared" si="85"/>
        <v>4</v>
      </c>
      <c r="AZ52" s="16">
        <f t="shared" si="86"/>
        <v>0</v>
      </c>
      <c r="BA52" s="17">
        <f t="shared" si="87"/>
        <v>5</v>
      </c>
    </row>
    <row r="53" spans="1:53" ht="16.2" thickBot="1" x14ac:dyDescent="0.35">
      <c r="A53" s="200" t="s">
        <v>55</v>
      </c>
      <c r="B53" s="143">
        <v>43862</v>
      </c>
      <c r="C53" s="143">
        <v>43890</v>
      </c>
      <c r="D53" s="108">
        <v>160</v>
      </c>
      <c r="E53" s="109">
        <v>280</v>
      </c>
      <c r="F53" s="110">
        <v>0</v>
      </c>
      <c r="G53" s="111">
        <v>900</v>
      </c>
      <c r="H53" s="109">
        <v>920</v>
      </c>
      <c r="I53" s="112">
        <v>0</v>
      </c>
      <c r="J53" s="111">
        <v>650</v>
      </c>
      <c r="K53" s="109">
        <v>650</v>
      </c>
      <c r="L53" s="110">
        <v>0</v>
      </c>
      <c r="M53" s="111">
        <v>512</v>
      </c>
      <c r="N53" s="109">
        <v>644</v>
      </c>
      <c r="O53" s="110">
        <v>0</v>
      </c>
      <c r="P53" s="111">
        <v>160</v>
      </c>
      <c r="Q53" s="109">
        <v>396</v>
      </c>
      <c r="R53" s="110">
        <v>0</v>
      </c>
      <c r="S53" s="111">
        <v>100</v>
      </c>
      <c r="T53" s="109">
        <v>230</v>
      </c>
      <c r="U53" s="110">
        <v>0</v>
      </c>
      <c r="V53" s="111">
        <v>160</v>
      </c>
      <c r="W53" s="109">
        <v>510</v>
      </c>
      <c r="X53" s="110">
        <v>0</v>
      </c>
      <c r="Y53" s="111">
        <v>120</v>
      </c>
      <c r="Z53" s="109">
        <v>190</v>
      </c>
      <c r="AA53" s="110">
        <v>0</v>
      </c>
      <c r="AB53" s="111">
        <v>230</v>
      </c>
      <c r="AC53" s="109">
        <v>230</v>
      </c>
      <c r="AD53" s="110">
        <v>0</v>
      </c>
      <c r="AE53" s="111">
        <v>450</v>
      </c>
      <c r="AF53" s="109">
        <v>450</v>
      </c>
      <c r="AG53" s="112">
        <v>0</v>
      </c>
      <c r="AH53" s="231">
        <f>+Janvier!AJ53</f>
        <v>269.25824175824175</v>
      </c>
      <c r="AI53" s="231">
        <f>+Janvier!AK53</f>
        <v>837.69230769230774</v>
      </c>
      <c r="AJ53" s="231">
        <f>+Janvier!AL53</f>
        <v>628.26923076923083</v>
      </c>
      <c r="AK53" s="231">
        <f>+Janvier!AM53</f>
        <v>628.26923076923083</v>
      </c>
      <c r="AL53" s="231">
        <f>+Janvier!AN53</f>
        <v>380.76923076923083</v>
      </c>
      <c r="AM53" s="231">
        <f>+Janvier!AO53</f>
        <v>235.60096153846155</v>
      </c>
      <c r="AN53" s="231">
        <f>+Janvier!AP53</f>
        <v>471.20192307692309</v>
      </c>
      <c r="AO53" s="231">
        <f>+Janvier!AQ53</f>
        <v>235.60096153846155</v>
      </c>
      <c r="AP53" s="231">
        <f>+Janvier!AR53</f>
        <v>235.60096153846155</v>
      </c>
      <c r="AQ53" s="231">
        <f>+Janvier!AS53</f>
        <v>418.84615384615387</v>
      </c>
      <c r="AR53" s="32">
        <f t="shared" si="78"/>
        <v>5</v>
      </c>
      <c r="AS53" s="32">
        <f t="shared" si="79"/>
        <v>5</v>
      </c>
      <c r="AT53" s="32">
        <f t="shared" si="80"/>
        <v>5</v>
      </c>
      <c r="AU53" s="32">
        <f t="shared" si="81"/>
        <v>5</v>
      </c>
      <c r="AV53" s="32">
        <f t="shared" si="82"/>
        <v>5</v>
      </c>
      <c r="AW53" s="32">
        <f t="shared" si="83"/>
        <v>5</v>
      </c>
      <c r="AX53" s="32">
        <f t="shared" si="84"/>
        <v>5</v>
      </c>
      <c r="AY53" s="32">
        <f t="shared" si="85"/>
        <v>4</v>
      </c>
      <c r="AZ53" s="32">
        <f t="shared" si="86"/>
        <v>5</v>
      </c>
      <c r="BA53" s="33">
        <f t="shared" si="87"/>
        <v>5</v>
      </c>
    </row>
    <row r="54" spans="1:53" ht="15.6" x14ac:dyDescent="0.3">
      <c r="A54" s="201" t="s">
        <v>146</v>
      </c>
      <c r="B54" s="148">
        <v>43862</v>
      </c>
      <c r="C54" s="148">
        <v>43890</v>
      </c>
      <c r="D54" s="151">
        <v>67000</v>
      </c>
      <c r="E54" s="149">
        <v>59180</v>
      </c>
      <c r="F54" s="150">
        <v>0</v>
      </c>
      <c r="G54" s="151">
        <v>127000</v>
      </c>
      <c r="H54" s="149">
        <v>162200</v>
      </c>
      <c r="I54" s="150">
        <v>0</v>
      </c>
      <c r="J54" s="151">
        <v>104000</v>
      </c>
      <c r="K54" s="149">
        <v>115940</v>
      </c>
      <c r="L54" s="150">
        <v>0</v>
      </c>
      <c r="M54" s="151">
        <v>102000</v>
      </c>
      <c r="N54" s="149">
        <v>117800</v>
      </c>
      <c r="O54" s="150">
        <v>0</v>
      </c>
      <c r="P54" s="151">
        <v>67800</v>
      </c>
      <c r="Q54" s="149">
        <v>77000</v>
      </c>
      <c r="R54" s="150">
        <v>0</v>
      </c>
      <c r="S54" s="151">
        <v>36000</v>
      </c>
      <c r="T54" s="149">
        <v>38700</v>
      </c>
      <c r="U54" s="150">
        <v>0</v>
      </c>
      <c r="V54" s="151">
        <v>57000</v>
      </c>
      <c r="W54" s="149">
        <v>103020</v>
      </c>
      <c r="X54" s="150">
        <v>0</v>
      </c>
      <c r="Y54" s="151">
        <v>39000</v>
      </c>
      <c r="Z54" s="149">
        <v>44970</v>
      </c>
      <c r="AA54" s="150">
        <v>0</v>
      </c>
      <c r="AB54" s="151">
        <v>17000</v>
      </c>
      <c r="AC54" s="149">
        <v>7950</v>
      </c>
      <c r="AD54" s="325">
        <v>0</v>
      </c>
      <c r="AE54" s="151">
        <v>98000</v>
      </c>
      <c r="AF54" s="149">
        <v>103890</v>
      </c>
      <c r="AG54" s="227">
        <v>0</v>
      </c>
      <c r="AH54" s="231">
        <f>+Janvier!AJ54</f>
        <v>63310.376250000001</v>
      </c>
      <c r="AI54" s="231">
        <f>+Janvier!AK54</f>
        <v>217816.00961538462</v>
      </c>
      <c r="AJ54" s="231">
        <f>+Janvier!AL54</f>
        <v>145065.46240384618</v>
      </c>
      <c r="AK54" s="231">
        <f>+Janvier!AM54</f>
        <v>145065.46240384618</v>
      </c>
      <c r="AL54" s="231">
        <f>+Janvier!AN54</f>
        <v>91482.724038461543</v>
      </c>
      <c r="AM54" s="231">
        <f>+Janvier!AO54</f>
        <v>54454.002403846156</v>
      </c>
      <c r="AN54" s="231">
        <f>+Janvier!AP54</f>
        <v>108908.00480769231</v>
      </c>
      <c r="AO54" s="231">
        <f>+Janvier!AQ54</f>
        <v>54454.002403846156</v>
      </c>
      <c r="AP54" s="231">
        <f>+Janvier!AR54</f>
        <v>54454.002403846156</v>
      </c>
      <c r="AQ54" s="231">
        <f>+Janvier!AS54</f>
        <v>98286.038653846175</v>
      </c>
      <c r="AR54" s="16">
        <f>ROUND(E54/(AH54/15),0)</f>
        <v>14</v>
      </c>
      <c r="AS54" s="16">
        <f t="shared" ref="AS54" si="88">ROUND(H54/(AI54/15),0)</f>
        <v>11</v>
      </c>
      <c r="AT54" s="16">
        <f t="shared" ref="AT54" si="89">ROUND(K54/(AJ54/15),0)</f>
        <v>12</v>
      </c>
      <c r="AU54" s="16">
        <f t="shared" ref="AU54" si="90">ROUND(N54/(AK54/15),0)</f>
        <v>12</v>
      </c>
      <c r="AV54" s="16">
        <f t="shared" ref="AV54" si="91">ROUND(Q54/(AL54/15),0)</f>
        <v>13</v>
      </c>
      <c r="AW54" s="16">
        <f t="shared" ref="AW54" si="92">ROUND(T54/(AM54/15),0)</f>
        <v>11</v>
      </c>
      <c r="AX54" s="16">
        <f t="shared" ref="AX54" si="93">ROUND(W54/(AN54/15),0)</f>
        <v>14</v>
      </c>
      <c r="AY54" s="16">
        <f t="shared" ref="AY54" si="94">ROUND(Z54/(AO54/15),0)</f>
        <v>12</v>
      </c>
      <c r="AZ54" s="16">
        <f t="shared" ref="AZ54" si="95">ROUND(AC54/(AP54/15),0)</f>
        <v>2</v>
      </c>
      <c r="BA54" s="17">
        <f t="shared" ref="BA54" si="96">ROUND(AF54/(AQ54/15),0)</f>
        <v>16</v>
      </c>
    </row>
    <row r="55" spans="1:53" ht="15.6" x14ac:dyDescent="0.3">
      <c r="A55" s="199" t="s">
        <v>21</v>
      </c>
      <c r="B55" s="94">
        <v>43862</v>
      </c>
      <c r="C55" s="94">
        <v>43890</v>
      </c>
      <c r="D55" s="95">
        <v>0</v>
      </c>
      <c r="E55" s="96">
        <v>100</v>
      </c>
      <c r="F55" s="97">
        <v>0</v>
      </c>
      <c r="G55" s="95">
        <v>2320</v>
      </c>
      <c r="H55" s="96">
        <v>820</v>
      </c>
      <c r="I55" s="97">
        <v>0</v>
      </c>
      <c r="J55" s="95">
        <v>2000</v>
      </c>
      <c r="K55" s="96">
        <v>570</v>
      </c>
      <c r="L55" s="97">
        <v>0</v>
      </c>
      <c r="M55" s="95">
        <v>2000</v>
      </c>
      <c r="N55" s="96">
        <v>628</v>
      </c>
      <c r="O55" s="97">
        <v>0</v>
      </c>
      <c r="P55" s="95">
        <v>950</v>
      </c>
      <c r="Q55" s="96">
        <v>205</v>
      </c>
      <c r="R55" s="97">
        <v>0</v>
      </c>
      <c r="S55" s="95">
        <v>800</v>
      </c>
      <c r="T55" s="96">
        <v>240</v>
      </c>
      <c r="U55" s="97">
        <v>0</v>
      </c>
      <c r="V55" s="95">
        <v>1090</v>
      </c>
      <c r="W55" s="96">
        <v>700</v>
      </c>
      <c r="X55" s="97">
        <v>0</v>
      </c>
      <c r="Y55" s="95">
        <v>760</v>
      </c>
      <c r="Z55" s="96">
        <v>250</v>
      </c>
      <c r="AA55" s="97">
        <v>0</v>
      </c>
      <c r="AB55" s="95">
        <v>0</v>
      </c>
      <c r="AC55" s="96">
        <v>0</v>
      </c>
      <c r="AD55" s="326">
        <v>29</v>
      </c>
      <c r="AE55" s="95">
        <v>1170</v>
      </c>
      <c r="AF55" s="96">
        <v>430</v>
      </c>
      <c r="AG55" s="105">
        <v>0</v>
      </c>
      <c r="AH55" s="231">
        <f>+Janvier!AJ55</f>
        <v>1099.4093406593406</v>
      </c>
      <c r="AI55" s="231">
        <f>+Janvier!AK55</f>
        <v>3420.3846153846152</v>
      </c>
      <c r="AJ55" s="231">
        <f>+Janvier!AL55</f>
        <v>2565.2884615384614</v>
      </c>
      <c r="AK55" s="231">
        <f>+Janvier!AM55</f>
        <v>2565.2884615384614</v>
      </c>
      <c r="AL55" s="231">
        <f>+Janvier!AN55</f>
        <v>1554.7202797202797</v>
      </c>
      <c r="AM55" s="231">
        <f>+Janvier!AO55</f>
        <v>961.98317307692309</v>
      </c>
      <c r="AN55" s="231">
        <f>+Janvier!AP55</f>
        <v>1923.9663461538462</v>
      </c>
      <c r="AO55" s="231">
        <f>+Janvier!AQ55</f>
        <v>961.98317307692309</v>
      </c>
      <c r="AP55" s="231">
        <f>+Janvier!AR55</f>
        <v>961.98317307692309</v>
      </c>
      <c r="AQ55" s="231">
        <f>+Janvier!AS55</f>
        <v>1710.1923076923076</v>
      </c>
      <c r="AR55" s="16">
        <f t="shared" ref="AR55:AR67" si="97">ROUND(E55/(AH55/5),0)</f>
        <v>0</v>
      </c>
      <c r="AS55" s="16">
        <f t="shared" ref="AS55:AS67" si="98">ROUND(H55/(AI55/5),0)</f>
        <v>1</v>
      </c>
      <c r="AT55" s="16">
        <f t="shared" ref="AT55:AT67" si="99">ROUND(K55/(AJ55/5),0)</f>
        <v>1</v>
      </c>
      <c r="AU55" s="16">
        <f t="shared" ref="AU55:AU67" si="100">ROUND(N55/(AK55/5),0)</f>
        <v>1</v>
      </c>
      <c r="AV55" s="16">
        <f t="shared" ref="AV55:AV67" si="101">ROUND(Q55/(AL55/5),0)</f>
        <v>1</v>
      </c>
      <c r="AW55" s="16">
        <f t="shared" ref="AW55:AW67" si="102">ROUND(T55/(AM55/5),0)</f>
        <v>1</v>
      </c>
      <c r="AX55" s="16">
        <f t="shared" ref="AX55:AX67" si="103">ROUND(W55/(AN55/5),0)</f>
        <v>2</v>
      </c>
      <c r="AY55" s="16">
        <f t="shared" ref="AY55:AY67" si="104">ROUND(Z55/(AO55/5),0)</f>
        <v>1</v>
      </c>
      <c r="AZ55" s="16">
        <f t="shared" ref="AZ55:AZ67" si="105">ROUND(AC55/(AP55/5),0)</f>
        <v>0</v>
      </c>
      <c r="BA55" s="17">
        <f t="shared" ref="BA55:BA67" si="106">ROUND(AF55/(AQ55/5),0)</f>
        <v>1</v>
      </c>
    </row>
    <row r="56" spans="1:53" ht="15.6" x14ac:dyDescent="0.3">
      <c r="A56" s="199" t="s">
        <v>22</v>
      </c>
      <c r="B56" s="94">
        <v>43862</v>
      </c>
      <c r="C56" s="94">
        <v>43890</v>
      </c>
      <c r="D56" s="95">
        <v>0</v>
      </c>
      <c r="E56" s="96">
        <v>80</v>
      </c>
      <c r="F56" s="97">
        <v>0</v>
      </c>
      <c r="G56" s="95">
        <v>0</v>
      </c>
      <c r="H56" s="96">
        <v>40</v>
      </c>
      <c r="I56" s="97">
        <v>0</v>
      </c>
      <c r="J56" s="95">
        <v>0</v>
      </c>
      <c r="K56" s="96">
        <v>30</v>
      </c>
      <c r="L56" s="97">
        <v>0</v>
      </c>
      <c r="M56" s="95">
        <v>0</v>
      </c>
      <c r="N56" s="96">
        <v>40</v>
      </c>
      <c r="O56" s="97">
        <v>0</v>
      </c>
      <c r="P56" s="95">
        <v>0</v>
      </c>
      <c r="Q56" s="96">
        <v>28</v>
      </c>
      <c r="R56" s="97">
        <v>0</v>
      </c>
      <c r="S56" s="95">
        <v>0</v>
      </c>
      <c r="T56" s="96">
        <v>200</v>
      </c>
      <c r="U56" s="97">
        <v>0</v>
      </c>
      <c r="V56" s="95">
        <v>0</v>
      </c>
      <c r="W56" s="96">
        <v>130</v>
      </c>
      <c r="X56" s="97">
        <v>0</v>
      </c>
      <c r="Y56" s="95">
        <v>0</v>
      </c>
      <c r="Z56" s="96">
        <v>230</v>
      </c>
      <c r="AA56" s="97">
        <v>0</v>
      </c>
      <c r="AB56" s="95">
        <v>0</v>
      </c>
      <c r="AC56" s="96">
        <v>0</v>
      </c>
      <c r="AD56" s="326">
        <v>29</v>
      </c>
      <c r="AE56" s="95">
        <v>0</v>
      </c>
      <c r="AF56" s="96">
        <v>140</v>
      </c>
      <c r="AG56" s="105">
        <v>0</v>
      </c>
      <c r="AH56" s="231">
        <f>+Janvier!AJ56</f>
        <v>434.54670329670336</v>
      </c>
      <c r="AI56" s="231">
        <f>+Janvier!AK56</f>
        <v>1351.9230769230767</v>
      </c>
      <c r="AJ56" s="231">
        <f>+Janvier!AL56</f>
        <v>1013.9423076923077</v>
      </c>
      <c r="AK56" s="231">
        <f>+Janvier!AM56</f>
        <v>1013.9423076923077</v>
      </c>
      <c r="AL56" s="231">
        <f>+Janvier!AN56</f>
        <v>614.51048951048949</v>
      </c>
      <c r="AM56" s="231">
        <f>+Janvier!AO56</f>
        <v>380.22836538461542</v>
      </c>
      <c r="AN56" s="231">
        <f>+Janvier!AP56</f>
        <v>760.45673076923083</v>
      </c>
      <c r="AO56" s="231">
        <f>+Janvier!AQ56</f>
        <v>380.22836538461542</v>
      </c>
      <c r="AP56" s="231">
        <f>+Janvier!AR56</f>
        <v>380.22836538461542</v>
      </c>
      <c r="AQ56" s="231">
        <f>+Janvier!AS56</f>
        <v>675.96153846153834</v>
      </c>
      <c r="AR56" s="16">
        <f t="shared" si="97"/>
        <v>1</v>
      </c>
      <c r="AS56" s="16">
        <f t="shared" si="98"/>
        <v>0</v>
      </c>
      <c r="AT56" s="16">
        <f t="shared" si="99"/>
        <v>0</v>
      </c>
      <c r="AU56" s="16">
        <f t="shared" si="100"/>
        <v>0</v>
      </c>
      <c r="AV56" s="16">
        <f t="shared" si="101"/>
        <v>0</v>
      </c>
      <c r="AW56" s="16">
        <f t="shared" si="102"/>
        <v>3</v>
      </c>
      <c r="AX56" s="16">
        <f t="shared" si="103"/>
        <v>1</v>
      </c>
      <c r="AY56" s="16">
        <f t="shared" si="104"/>
        <v>3</v>
      </c>
      <c r="AZ56" s="16">
        <f t="shared" si="105"/>
        <v>0</v>
      </c>
      <c r="BA56" s="17">
        <f t="shared" si="106"/>
        <v>1</v>
      </c>
    </row>
    <row r="57" spans="1:53" ht="15.6" x14ac:dyDescent="0.3">
      <c r="A57" s="199" t="s">
        <v>25</v>
      </c>
      <c r="B57" s="94">
        <v>43862</v>
      </c>
      <c r="C57" s="94">
        <v>43890</v>
      </c>
      <c r="D57" s="95">
        <v>880</v>
      </c>
      <c r="E57" s="96">
        <v>400</v>
      </c>
      <c r="F57" s="97">
        <v>0</v>
      </c>
      <c r="G57" s="95">
        <v>2000</v>
      </c>
      <c r="H57" s="96">
        <v>1300</v>
      </c>
      <c r="I57" s="97">
        <v>0</v>
      </c>
      <c r="J57" s="95">
        <v>1950</v>
      </c>
      <c r="K57" s="96">
        <v>1170</v>
      </c>
      <c r="L57" s="97">
        <v>0</v>
      </c>
      <c r="M57" s="95">
        <v>1936</v>
      </c>
      <c r="N57" s="96">
        <v>1352</v>
      </c>
      <c r="O57" s="97">
        <v>0</v>
      </c>
      <c r="P57" s="95">
        <v>1000</v>
      </c>
      <c r="Q57" s="96">
        <v>556</v>
      </c>
      <c r="R57" s="97">
        <v>0</v>
      </c>
      <c r="S57" s="95">
        <v>430</v>
      </c>
      <c r="T57" s="96">
        <v>590</v>
      </c>
      <c r="U57" s="97">
        <v>0</v>
      </c>
      <c r="V57" s="95">
        <v>1080</v>
      </c>
      <c r="W57" s="96">
        <v>1680</v>
      </c>
      <c r="X57" s="97">
        <v>0</v>
      </c>
      <c r="Y57" s="95">
        <v>520</v>
      </c>
      <c r="Z57" s="96">
        <v>480</v>
      </c>
      <c r="AA57" s="97">
        <v>0</v>
      </c>
      <c r="AB57" s="95">
        <v>800</v>
      </c>
      <c r="AC57" s="96">
        <v>160</v>
      </c>
      <c r="AD57" s="326">
        <v>0</v>
      </c>
      <c r="AE57" s="95">
        <v>640</v>
      </c>
      <c r="AF57" s="96">
        <v>110</v>
      </c>
      <c r="AG57" s="105">
        <v>0</v>
      </c>
      <c r="AH57" s="231">
        <f>+Janvier!AJ57</f>
        <v>816.30494505494516</v>
      </c>
      <c r="AI57" s="231">
        <f>+Janvier!AK57</f>
        <v>2539.6153846153848</v>
      </c>
      <c r="AJ57" s="231">
        <f>+Janvier!AL57</f>
        <v>1904.7115384615383</v>
      </c>
      <c r="AK57" s="231">
        <f>+Janvier!AM57</f>
        <v>1904.7115384615383</v>
      </c>
      <c r="AL57" s="231">
        <f>+Janvier!AN57</f>
        <v>1154.3706293706296</v>
      </c>
      <c r="AM57" s="231">
        <f>+Janvier!AO57</f>
        <v>714.26682692307691</v>
      </c>
      <c r="AN57" s="231">
        <f>+Janvier!AP57</f>
        <v>1428.5336538461538</v>
      </c>
      <c r="AO57" s="231">
        <f>+Janvier!AQ57</f>
        <v>714.26682692307691</v>
      </c>
      <c r="AP57" s="231">
        <f>+Janvier!AR57</f>
        <v>714.26682692307691</v>
      </c>
      <c r="AQ57" s="231">
        <f>+Janvier!AS57</f>
        <v>1269.8076923076924</v>
      </c>
      <c r="AR57" s="16">
        <f t="shared" si="97"/>
        <v>2</v>
      </c>
      <c r="AS57" s="16">
        <f t="shared" si="98"/>
        <v>3</v>
      </c>
      <c r="AT57" s="16">
        <f t="shared" si="99"/>
        <v>3</v>
      </c>
      <c r="AU57" s="16">
        <f t="shared" si="100"/>
        <v>4</v>
      </c>
      <c r="AV57" s="16">
        <f t="shared" si="101"/>
        <v>2</v>
      </c>
      <c r="AW57" s="16">
        <f t="shared" si="102"/>
        <v>4</v>
      </c>
      <c r="AX57" s="16">
        <f t="shared" si="103"/>
        <v>6</v>
      </c>
      <c r="AY57" s="16">
        <f t="shared" si="104"/>
        <v>3</v>
      </c>
      <c r="AZ57" s="16">
        <f t="shared" si="105"/>
        <v>1</v>
      </c>
      <c r="BA57" s="17">
        <f t="shared" si="106"/>
        <v>0</v>
      </c>
    </row>
    <row r="58" spans="1:53" ht="15.6" x14ac:dyDescent="0.3">
      <c r="A58" s="199" t="s">
        <v>23</v>
      </c>
      <c r="B58" s="94">
        <v>43862</v>
      </c>
      <c r="C58" s="94">
        <v>43890</v>
      </c>
      <c r="D58" s="95">
        <v>520</v>
      </c>
      <c r="E58" s="96">
        <v>520</v>
      </c>
      <c r="F58" s="97">
        <v>0</v>
      </c>
      <c r="G58" s="95">
        <v>2000</v>
      </c>
      <c r="H58" s="96">
        <v>2000</v>
      </c>
      <c r="I58" s="97">
        <v>0</v>
      </c>
      <c r="J58" s="95">
        <v>2000</v>
      </c>
      <c r="K58" s="96">
        <v>2000</v>
      </c>
      <c r="L58" s="97">
        <v>0</v>
      </c>
      <c r="M58" s="95">
        <v>1032</v>
      </c>
      <c r="N58" s="96">
        <v>1032</v>
      </c>
      <c r="O58" s="97">
        <v>0</v>
      </c>
      <c r="P58" s="95">
        <v>600</v>
      </c>
      <c r="Q58" s="96">
        <v>600</v>
      </c>
      <c r="R58" s="97">
        <v>0</v>
      </c>
      <c r="S58" s="95">
        <v>780</v>
      </c>
      <c r="T58" s="96">
        <v>780</v>
      </c>
      <c r="U58" s="97">
        <v>0</v>
      </c>
      <c r="V58" s="95">
        <v>860</v>
      </c>
      <c r="W58" s="96">
        <v>860</v>
      </c>
      <c r="X58" s="97">
        <v>0</v>
      </c>
      <c r="Y58" s="95">
        <v>500</v>
      </c>
      <c r="Z58" s="96">
        <v>500</v>
      </c>
      <c r="AA58" s="97">
        <v>0</v>
      </c>
      <c r="AB58" s="95">
        <v>450</v>
      </c>
      <c r="AC58" s="96">
        <v>450</v>
      </c>
      <c r="AD58" s="326">
        <v>0</v>
      </c>
      <c r="AE58" s="95">
        <v>900</v>
      </c>
      <c r="AF58" s="96">
        <v>930</v>
      </c>
      <c r="AG58" s="105">
        <v>0</v>
      </c>
      <c r="AH58" s="231">
        <f>+Janvier!AJ58</f>
        <v>510.08241758241758</v>
      </c>
      <c r="AI58" s="231">
        <f>+Janvier!AK58</f>
        <v>1586.9230769230767</v>
      </c>
      <c r="AJ58" s="231">
        <f>+Janvier!AL58</f>
        <v>1190.1923076923078</v>
      </c>
      <c r="AK58" s="231">
        <f>+Janvier!AM58</f>
        <v>1190.1923076923078</v>
      </c>
      <c r="AL58" s="231">
        <f>+Janvier!AN58</f>
        <v>721.32867132867148</v>
      </c>
      <c r="AM58" s="231">
        <f>+Janvier!AO58</f>
        <v>446.32211538461542</v>
      </c>
      <c r="AN58" s="231">
        <f>+Janvier!AP58</f>
        <v>892.64423076923083</v>
      </c>
      <c r="AO58" s="231">
        <f>+Janvier!AQ58</f>
        <v>446.32211538461542</v>
      </c>
      <c r="AP58" s="231">
        <f>+Janvier!AR58</f>
        <v>446.32211538461542</v>
      </c>
      <c r="AQ58" s="231">
        <f>+Janvier!AS58</f>
        <v>793.46153846153834</v>
      </c>
      <c r="AR58" s="16">
        <f t="shared" si="97"/>
        <v>5</v>
      </c>
      <c r="AS58" s="16">
        <f t="shared" si="98"/>
        <v>6</v>
      </c>
      <c r="AT58" s="16">
        <f t="shared" si="99"/>
        <v>8</v>
      </c>
      <c r="AU58" s="16">
        <f t="shared" si="100"/>
        <v>4</v>
      </c>
      <c r="AV58" s="16">
        <f t="shared" si="101"/>
        <v>4</v>
      </c>
      <c r="AW58" s="16">
        <f t="shared" si="102"/>
        <v>9</v>
      </c>
      <c r="AX58" s="16">
        <f t="shared" si="103"/>
        <v>5</v>
      </c>
      <c r="AY58" s="16">
        <f t="shared" si="104"/>
        <v>6</v>
      </c>
      <c r="AZ58" s="16">
        <f t="shared" si="105"/>
        <v>5</v>
      </c>
      <c r="BA58" s="17">
        <f t="shared" si="106"/>
        <v>6</v>
      </c>
    </row>
    <row r="59" spans="1:53" ht="15.6" x14ac:dyDescent="0.3">
      <c r="A59" s="199" t="s">
        <v>24</v>
      </c>
      <c r="B59" s="94">
        <v>43862</v>
      </c>
      <c r="C59" s="94">
        <v>43890</v>
      </c>
      <c r="D59" s="95">
        <v>400</v>
      </c>
      <c r="E59" s="96">
        <v>0</v>
      </c>
      <c r="F59" s="97">
        <v>3</v>
      </c>
      <c r="G59" s="95">
        <v>2040</v>
      </c>
      <c r="H59" s="96">
        <v>520</v>
      </c>
      <c r="I59" s="97">
        <v>0</v>
      </c>
      <c r="J59" s="95">
        <v>1530</v>
      </c>
      <c r="K59" s="96">
        <v>480</v>
      </c>
      <c r="L59" s="97">
        <v>0</v>
      </c>
      <c r="M59" s="95">
        <v>0</v>
      </c>
      <c r="N59" s="96">
        <v>528</v>
      </c>
      <c r="O59" s="97">
        <v>0</v>
      </c>
      <c r="P59" s="95">
        <v>0</v>
      </c>
      <c r="Q59" s="96">
        <v>337</v>
      </c>
      <c r="R59" s="97">
        <v>0</v>
      </c>
      <c r="S59" s="95">
        <v>400</v>
      </c>
      <c r="T59" s="96">
        <v>0</v>
      </c>
      <c r="U59" s="97">
        <v>3</v>
      </c>
      <c r="V59" s="95">
        <v>0</v>
      </c>
      <c r="W59" s="96">
        <v>640</v>
      </c>
      <c r="X59" s="97">
        <v>0</v>
      </c>
      <c r="Y59" s="95">
        <v>0</v>
      </c>
      <c r="Z59" s="96">
        <v>200</v>
      </c>
      <c r="AA59" s="97">
        <v>0</v>
      </c>
      <c r="AB59" s="95">
        <v>0</v>
      </c>
      <c r="AC59" s="96">
        <v>0</v>
      </c>
      <c r="AD59" s="326">
        <v>29</v>
      </c>
      <c r="AE59" s="95">
        <v>1000</v>
      </c>
      <c r="AF59" s="96">
        <v>0</v>
      </c>
      <c r="AG59" s="105">
        <v>3</v>
      </c>
      <c r="AH59" s="231">
        <f>+Janvier!AJ59</f>
        <v>646.8131868131868</v>
      </c>
      <c r="AI59" s="231">
        <f>+Janvier!AK59</f>
        <v>2012.3076923076924</v>
      </c>
      <c r="AJ59" s="231">
        <f>+Janvier!AL59</f>
        <v>1509.2307692307693</v>
      </c>
      <c r="AK59" s="231">
        <f>+Janvier!AM59</f>
        <v>1509.2307692307693</v>
      </c>
      <c r="AL59" s="231">
        <f>+Janvier!AN59</f>
        <v>914.68531468531478</v>
      </c>
      <c r="AM59" s="231">
        <f>+Janvier!AO59</f>
        <v>565.96153846153845</v>
      </c>
      <c r="AN59" s="231">
        <f>+Janvier!AP59</f>
        <v>1131.9230769230769</v>
      </c>
      <c r="AO59" s="231">
        <f>+Janvier!AQ59</f>
        <v>565.96153846153845</v>
      </c>
      <c r="AP59" s="231">
        <f>+Janvier!AR59</f>
        <v>565.96153846153845</v>
      </c>
      <c r="AQ59" s="231">
        <f>+Janvier!AS59</f>
        <v>1006.1538461538462</v>
      </c>
      <c r="AR59" s="16">
        <f t="shared" si="97"/>
        <v>0</v>
      </c>
      <c r="AS59" s="16">
        <f t="shared" si="98"/>
        <v>1</v>
      </c>
      <c r="AT59" s="16">
        <f t="shared" si="99"/>
        <v>2</v>
      </c>
      <c r="AU59" s="16">
        <f t="shared" si="100"/>
        <v>2</v>
      </c>
      <c r="AV59" s="16">
        <f t="shared" si="101"/>
        <v>2</v>
      </c>
      <c r="AW59" s="16">
        <f t="shared" si="102"/>
        <v>0</v>
      </c>
      <c r="AX59" s="16">
        <f t="shared" si="103"/>
        <v>3</v>
      </c>
      <c r="AY59" s="16">
        <f t="shared" si="104"/>
        <v>2</v>
      </c>
      <c r="AZ59" s="16">
        <f t="shared" si="105"/>
        <v>0</v>
      </c>
      <c r="BA59" s="17">
        <f t="shared" si="106"/>
        <v>0</v>
      </c>
    </row>
    <row r="60" spans="1:53" ht="15.6" x14ac:dyDescent="0.3">
      <c r="A60" s="199" t="s">
        <v>26</v>
      </c>
      <c r="B60" s="94">
        <v>43862</v>
      </c>
      <c r="C60" s="94">
        <v>43890</v>
      </c>
      <c r="D60" s="95">
        <v>2060</v>
      </c>
      <c r="E60" s="96">
        <v>680</v>
      </c>
      <c r="F60" s="97">
        <v>0</v>
      </c>
      <c r="G60" s="95">
        <v>4000</v>
      </c>
      <c r="H60" s="96">
        <v>3380</v>
      </c>
      <c r="I60" s="97">
        <v>0</v>
      </c>
      <c r="J60" s="95">
        <v>3800</v>
      </c>
      <c r="K60" s="96">
        <v>2210</v>
      </c>
      <c r="L60" s="97">
        <v>0</v>
      </c>
      <c r="M60" s="95">
        <v>3800</v>
      </c>
      <c r="N60" s="96">
        <v>2304</v>
      </c>
      <c r="O60" s="97">
        <v>0</v>
      </c>
      <c r="P60" s="95">
        <v>2200</v>
      </c>
      <c r="Q60" s="96">
        <v>1546</v>
      </c>
      <c r="R60" s="97">
        <v>0</v>
      </c>
      <c r="S60" s="95">
        <v>1400</v>
      </c>
      <c r="T60" s="96">
        <v>750</v>
      </c>
      <c r="U60" s="97">
        <v>0</v>
      </c>
      <c r="V60" s="95">
        <v>1500</v>
      </c>
      <c r="W60" s="96">
        <v>2160</v>
      </c>
      <c r="X60" s="97">
        <v>0</v>
      </c>
      <c r="Y60" s="95">
        <v>1500</v>
      </c>
      <c r="Z60" s="96">
        <v>1010</v>
      </c>
      <c r="AA60" s="97">
        <v>0</v>
      </c>
      <c r="AB60" s="95">
        <v>0</v>
      </c>
      <c r="AC60" s="96">
        <v>0</v>
      </c>
      <c r="AD60" s="326">
        <v>29</v>
      </c>
      <c r="AE60" s="95">
        <v>2000</v>
      </c>
      <c r="AF60" s="96">
        <v>1860</v>
      </c>
      <c r="AG60" s="105">
        <v>0</v>
      </c>
      <c r="AH60" s="231">
        <f>+Janvier!AJ60</f>
        <v>2337.1565934065934</v>
      </c>
      <c r="AI60" s="231">
        <f>+Janvier!AK60</f>
        <v>7271.1538461538466</v>
      </c>
      <c r="AJ60" s="231">
        <f>+Janvier!AL60</f>
        <v>5453.3653846153848</v>
      </c>
      <c r="AK60" s="231">
        <f>+Janvier!AM60</f>
        <v>5453.3653846153848</v>
      </c>
      <c r="AL60" s="231">
        <f>+Janvier!AN60</f>
        <v>3305.0699300699303</v>
      </c>
      <c r="AM60" s="231">
        <f>+Janvier!AO60</f>
        <v>2045.0120192307693</v>
      </c>
      <c r="AN60" s="231">
        <f>+Janvier!AP60</f>
        <v>4090.0240384615386</v>
      </c>
      <c r="AO60" s="231">
        <f>+Janvier!AQ60</f>
        <v>2045.0120192307693</v>
      </c>
      <c r="AP60" s="231">
        <f>+Janvier!AR60</f>
        <v>2045.0120192307693</v>
      </c>
      <c r="AQ60" s="231">
        <f>+Janvier!AS60</f>
        <v>3635.5769230769233</v>
      </c>
      <c r="AR60" s="16">
        <f t="shared" si="97"/>
        <v>1</v>
      </c>
      <c r="AS60" s="16">
        <f t="shared" si="98"/>
        <v>2</v>
      </c>
      <c r="AT60" s="16">
        <f t="shared" si="99"/>
        <v>2</v>
      </c>
      <c r="AU60" s="16">
        <f t="shared" si="100"/>
        <v>2</v>
      </c>
      <c r="AV60" s="16">
        <f t="shared" si="101"/>
        <v>2</v>
      </c>
      <c r="AW60" s="16">
        <f t="shared" si="102"/>
        <v>2</v>
      </c>
      <c r="AX60" s="16">
        <f t="shared" si="103"/>
        <v>3</v>
      </c>
      <c r="AY60" s="16">
        <f t="shared" si="104"/>
        <v>2</v>
      </c>
      <c r="AZ60" s="16">
        <f t="shared" si="105"/>
        <v>0</v>
      </c>
      <c r="BA60" s="17">
        <f t="shared" si="106"/>
        <v>3</v>
      </c>
    </row>
    <row r="61" spans="1:53" ht="15.6" x14ac:dyDescent="0.3">
      <c r="A61" s="199" t="s">
        <v>27</v>
      </c>
      <c r="B61" s="94">
        <v>43862</v>
      </c>
      <c r="C61" s="94">
        <v>43890</v>
      </c>
      <c r="D61" s="95">
        <v>1840</v>
      </c>
      <c r="E61" s="96">
        <v>400</v>
      </c>
      <c r="F61" s="97">
        <v>0</v>
      </c>
      <c r="G61" s="95">
        <v>3600</v>
      </c>
      <c r="H61" s="96">
        <v>1660</v>
      </c>
      <c r="I61" s="97">
        <v>0</v>
      </c>
      <c r="J61" s="95">
        <v>2760</v>
      </c>
      <c r="K61" s="96">
        <v>1540</v>
      </c>
      <c r="L61" s="97">
        <v>0</v>
      </c>
      <c r="M61" s="95">
        <v>3028</v>
      </c>
      <c r="N61" s="96">
        <v>1936</v>
      </c>
      <c r="O61" s="97">
        <v>0</v>
      </c>
      <c r="P61" s="95">
        <v>1150</v>
      </c>
      <c r="Q61" s="96">
        <v>970</v>
      </c>
      <c r="R61" s="97">
        <v>0</v>
      </c>
      <c r="S61" s="95">
        <v>1100</v>
      </c>
      <c r="T61" s="96">
        <v>520</v>
      </c>
      <c r="U61" s="97">
        <v>0</v>
      </c>
      <c r="V61" s="95">
        <v>2210</v>
      </c>
      <c r="W61" s="96">
        <v>1630</v>
      </c>
      <c r="X61" s="97">
        <v>0</v>
      </c>
      <c r="Y61" s="95">
        <v>1250</v>
      </c>
      <c r="Z61" s="96">
        <v>630</v>
      </c>
      <c r="AA61" s="97">
        <v>0</v>
      </c>
      <c r="AB61" s="95">
        <v>0</v>
      </c>
      <c r="AC61" s="96">
        <v>0</v>
      </c>
      <c r="AD61" s="326">
        <v>29</v>
      </c>
      <c r="AE61" s="95">
        <v>1930</v>
      </c>
      <c r="AF61" s="96">
        <v>770</v>
      </c>
      <c r="AG61" s="105">
        <v>0</v>
      </c>
      <c r="AH61" s="231">
        <f>+Janvier!AJ61</f>
        <v>1836.5934065934064</v>
      </c>
      <c r="AI61" s="231">
        <f>+Janvier!AK61</f>
        <v>5713.8461538461534</v>
      </c>
      <c r="AJ61" s="231">
        <f>+Janvier!AL61</f>
        <v>4285.3846153846152</v>
      </c>
      <c r="AK61" s="231">
        <f>+Janvier!AM61</f>
        <v>4285.3846153846152</v>
      </c>
      <c r="AL61" s="231">
        <f>+Janvier!AN61</f>
        <v>2597.2027972027972</v>
      </c>
      <c r="AM61" s="231">
        <f>+Janvier!AO61</f>
        <v>1607.0192307692307</v>
      </c>
      <c r="AN61" s="231">
        <f>+Janvier!AP61</f>
        <v>3214.0384615384614</v>
      </c>
      <c r="AO61" s="231">
        <f>+Janvier!AQ61</f>
        <v>1607.0192307692307</v>
      </c>
      <c r="AP61" s="231">
        <f>+Janvier!AR61</f>
        <v>1607.0192307692307</v>
      </c>
      <c r="AQ61" s="231">
        <f>+Janvier!AS61</f>
        <v>2856.9230769230767</v>
      </c>
      <c r="AR61" s="16">
        <f t="shared" si="97"/>
        <v>1</v>
      </c>
      <c r="AS61" s="16">
        <f t="shared" si="98"/>
        <v>1</v>
      </c>
      <c r="AT61" s="16">
        <f t="shared" si="99"/>
        <v>2</v>
      </c>
      <c r="AU61" s="16">
        <f t="shared" si="100"/>
        <v>2</v>
      </c>
      <c r="AV61" s="16">
        <f t="shared" si="101"/>
        <v>2</v>
      </c>
      <c r="AW61" s="16">
        <f t="shared" si="102"/>
        <v>2</v>
      </c>
      <c r="AX61" s="16">
        <f t="shared" si="103"/>
        <v>3</v>
      </c>
      <c r="AY61" s="16">
        <f t="shared" si="104"/>
        <v>2</v>
      </c>
      <c r="AZ61" s="16">
        <f t="shared" si="105"/>
        <v>0</v>
      </c>
      <c r="BA61" s="17">
        <f t="shared" si="106"/>
        <v>1</v>
      </c>
    </row>
    <row r="62" spans="1:53" ht="15.6" x14ac:dyDescent="0.3">
      <c r="A62" s="199" t="s">
        <v>28</v>
      </c>
      <c r="B62" s="94">
        <v>43862</v>
      </c>
      <c r="C62" s="94">
        <v>43890</v>
      </c>
      <c r="D62" s="95">
        <v>2720</v>
      </c>
      <c r="E62" s="98">
        <v>300</v>
      </c>
      <c r="F62" s="97">
        <v>0</v>
      </c>
      <c r="G62" s="99">
        <v>7000</v>
      </c>
      <c r="H62" s="98">
        <v>2920</v>
      </c>
      <c r="I62" s="97">
        <v>0</v>
      </c>
      <c r="J62" s="99">
        <v>5000</v>
      </c>
      <c r="K62" s="98">
        <v>810</v>
      </c>
      <c r="L62" s="97">
        <v>0</v>
      </c>
      <c r="M62" s="99">
        <v>5132</v>
      </c>
      <c r="N62" s="98">
        <v>2544</v>
      </c>
      <c r="O62" s="97">
        <v>0</v>
      </c>
      <c r="P62" s="99">
        <v>4000</v>
      </c>
      <c r="Q62" s="98">
        <v>1424</v>
      </c>
      <c r="R62" s="97">
        <v>0</v>
      </c>
      <c r="S62" s="99">
        <v>2530</v>
      </c>
      <c r="T62" s="98">
        <v>860</v>
      </c>
      <c r="U62" s="97">
        <v>0</v>
      </c>
      <c r="V62" s="99">
        <v>1260</v>
      </c>
      <c r="W62" s="98">
        <v>2040</v>
      </c>
      <c r="X62" s="97">
        <v>0</v>
      </c>
      <c r="Y62" s="99">
        <v>1700</v>
      </c>
      <c r="Z62" s="98">
        <v>740</v>
      </c>
      <c r="AA62" s="97">
        <v>0</v>
      </c>
      <c r="AB62" s="95">
        <v>0</v>
      </c>
      <c r="AC62" s="98">
        <v>0</v>
      </c>
      <c r="AD62" s="327">
        <v>29</v>
      </c>
      <c r="AE62" s="99">
        <v>2770</v>
      </c>
      <c r="AF62" s="98">
        <v>1740</v>
      </c>
      <c r="AG62" s="105">
        <v>0</v>
      </c>
      <c r="AH62" s="231">
        <f>+Janvier!AJ62</f>
        <v>3546.2225274725279</v>
      </c>
      <c r="AI62" s="231">
        <f>+Janvier!AK62</f>
        <v>11032.692307692307</v>
      </c>
      <c r="AJ62" s="231">
        <f>+Janvier!AL62</f>
        <v>8274.5192307692305</v>
      </c>
      <c r="AK62" s="231">
        <f>+Janvier!AM62</f>
        <v>8274.5192307692305</v>
      </c>
      <c r="AL62" s="231">
        <f>+Janvier!AN62</f>
        <v>5014.8601398601395</v>
      </c>
      <c r="AM62" s="231">
        <f>+Janvier!AO62</f>
        <v>3102.9447115384614</v>
      </c>
      <c r="AN62" s="231">
        <f>+Janvier!AP62</f>
        <v>6205.8894230769229</v>
      </c>
      <c r="AO62" s="231">
        <f>+Janvier!AQ62</f>
        <v>3102.9447115384614</v>
      </c>
      <c r="AP62" s="231">
        <f>+Janvier!AR62</f>
        <v>3102.9447115384614</v>
      </c>
      <c r="AQ62" s="231">
        <f>+Janvier!AS62</f>
        <v>5516.3461538461534</v>
      </c>
      <c r="AR62" s="16">
        <f t="shared" si="97"/>
        <v>0</v>
      </c>
      <c r="AS62" s="16">
        <f t="shared" si="98"/>
        <v>1</v>
      </c>
      <c r="AT62" s="16">
        <f t="shared" si="99"/>
        <v>0</v>
      </c>
      <c r="AU62" s="16">
        <f t="shared" si="100"/>
        <v>2</v>
      </c>
      <c r="AV62" s="16">
        <f t="shared" si="101"/>
        <v>1</v>
      </c>
      <c r="AW62" s="16">
        <f t="shared" si="102"/>
        <v>1</v>
      </c>
      <c r="AX62" s="16">
        <f t="shared" si="103"/>
        <v>2</v>
      </c>
      <c r="AY62" s="16">
        <f t="shared" si="104"/>
        <v>1</v>
      </c>
      <c r="AZ62" s="16">
        <f t="shared" si="105"/>
        <v>0</v>
      </c>
      <c r="BA62" s="17">
        <f t="shared" si="106"/>
        <v>2</v>
      </c>
    </row>
    <row r="63" spans="1:53" ht="15.6" x14ac:dyDescent="0.3">
      <c r="A63" s="199" t="s">
        <v>29</v>
      </c>
      <c r="B63" s="94">
        <v>43862</v>
      </c>
      <c r="C63" s="94">
        <v>43890</v>
      </c>
      <c r="D63" s="95">
        <v>1400</v>
      </c>
      <c r="E63" s="98">
        <v>340</v>
      </c>
      <c r="F63" s="97">
        <v>0</v>
      </c>
      <c r="G63" s="99">
        <v>5000</v>
      </c>
      <c r="H63" s="98">
        <v>2300</v>
      </c>
      <c r="I63" s="97">
        <v>0</v>
      </c>
      <c r="J63" s="99">
        <v>4000</v>
      </c>
      <c r="K63" s="98">
        <v>2500</v>
      </c>
      <c r="L63" s="97">
        <v>0</v>
      </c>
      <c r="M63" s="99">
        <v>4000</v>
      </c>
      <c r="N63" s="98">
        <v>2204</v>
      </c>
      <c r="O63" s="97">
        <v>0</v>
      </c>
      <c r="P63" s="99">
        <v>2750</v>
      </c>
      <c r="Q63" s="98">
        <v>1700</v>
      </c>
      <c r="R63" s="97">
        <v>0</v>
      </c>
      <c r="S63" s="99">
        <v>1600</v>
      </c>
      <c r="T63" s="98">
        <v>570</v>
      </c>
      <c r="U63" s="97">
        <v>0</v>
      </c>
      <c r="V63" s="99">
        <v>2000</v>
      </c>
      <c r="W63" s="98">
        <v>1080</v>
      </c>
      <c r="X63" s="97">
        <v>0</v>
      </c>
      <c r="Y63" s="99">
        <v>2000</v>
      </c>
      <c r="Z63" s="98">
        <v>760</v>
      </c>
      <c r="AA63" s="97">
        <v>0</v>
      </c>
      <c r="AB63" s="95">
        <v>2000</v>
      </c>
      <c r="AC63" s="98">
        <v>230</v>
      </c>
      <c r="AD63" s="326">
        <v>0</v>
      </c>
      <c r="AE63" s="99">
        <v>2000</v>
      </c>
      <c r="AF63" s="98">
        <v>770</v>
      </c>
      <c r="AG63" s="105">
        <v>0</v>
      </c>
      <c r="AH63" s="231">
        <f>+Janvier!AJ63</f>
        <v>2493.4203296703299</v>
      </c>
      <c r="AI63" s="231">
        <f>+Janvier!AK63</f>
        <v>7757.3076923076942</v>
      </c>
      <c r="AJ63" s="231">
        <f>+Janvier!AL63</f>
        <v>5817.9807692307704</v>
      </c>
      <c r="AK63" s="231">
        <f>+Janvier!AM63</f>
        <v>5817.9807692307704</v>
      </c>
      <c r="AL63" s="231">
        <f>+Janvier!AN63</f>
        <v>3526.0489510489515</v>
      </c>
      <c r="AM63" s="231">
        <f>+Janvier!AO63</f>
        <v>2181.7427884615386</v>
      </c>
      <c r="AN63" s="231">
        <f>+Janvier!AP63</f>
        <v>4363.4855769230771</v>
      </c>
      <c r="AO63" s="231">
        <f>+Janvier!AQ63</f>
        <v>2181.7427884615386</v>
      </c>
      <c r="AP63" s="231">
        <f>+Janvier!AR63</f>
        <v>2181.7427884615386</v>
      </c>
      <c r="AQ63" s="231">
        <f>+Janvier!AS63</f>
        <v>3878.6538461538471</v>
      </c>
      <c r="AR63" s="16">
        <f t="shared" si="97"/>
        <v>1</v>
      </c>
      <c r="AS63" s="16">
        <f t="shared" si="98"/>
        <v>1</v>
      </c>
      <c r="AT63" s="16">
        <f t="shared" si="99"/>
        <v>2</v>
      </c>
      <c r="AU63" s="16">
        <f t="shared" si="100"/>
        <v>2</v>
      </c>
      <c r="AV63" s="16">
        <f t="shared" si="101"/>
        <v>2</v>
      </c>
      <c r="AW63" s="16">
        <f t="shared" si="102"/>
        <v>1</v>
      </c>
      <c r="AX63" s="16">
        <f t="shared" si="103"/>
        <v>1</v>
      </c>
      <c r="AY63" s="16">
        <f t="shared" si="104"/>
        <v>2</v>
      </c>
      <c r="AZ63" s="16">
        <f t="shared" si="105"/>
        <v>1</v>
      </c>
      <c r="BA63" s="17">
        <f t="shared" si="106"/>
        <v>1</v>
      </c>
    </row>
    <row r="64" spans="1:53" ht="15.6" x14ac:dyDescent="0.3">
      <c r="A64" s="199" t="s">
        <v>30</v>
      </c>
      <c r="B64" s="94">
        <v>43862</v>
      </c>
      <c r="C64" s="94">
        <v>43890</v>
      </c>
      <c r="D64" s="95">
        <v>1000</v>
      </c>
      <c r="E64" s="98">
        <v>1840</v>
      </c>
      <c r="F64" s="97">
        <v>0</v>
      </c>
      <c r="G64" s="99">
        <v>3000</v>
      </c>
      <c r="H64" s="98">
        <v>1760</v>
      </c>
      <c r="I64" s="97">
        <v>0</v>
      </c>
      <c r="J64" s="99">
        <v>2100</v>
      </c>
      <c r="K64" s="98">
        <v>3350</v>
      </c>
      <c r="L64" s="97">
        <v>0</v>
      </c>
      <c r="M64" s="99">
        <v>1700</v>
      </c>
      <c r="N64" s="98">
        <v>4156</v>
      </c>
      <c r="O64" s="97">
        <v>0</v>
      </c>
      <c r="P64" s="99">
        <v>1500</v>
      </c>
      <c r="Q64" s="98">
        <v>2129</v>
      </c>
      <c r="R64" s="97">
        <v>0</v>
      </c>
      <c r="S64" s="99">
        <v>800</v>
      </c>
      <c r="T64" s="98">
        <v>470</v>
      </c>
      <c r="U64" s="97">
        <v>0</v>
      </c>
      <c r="V64" s="99">
        <v>1000</v>
      </c>
      <c r="W64" s="98">
        <v>2260</v>
      </c>
      <c r="X64" s="97">
        <v>0</v>
      </c>
      <c r="Y64" s="99">
        <v>600</v>
      </c>
      <c r="Z64" s="98">
        <v>690</v>
      </c>
      <c r="AA64" s="97">
        <v>0</v>
      </c>
      <c r="AB64" s="95">
        <v>1500</v>
      </c>
      <c r="AC64" s="98">
        <v>1330</v>
      </c>
      <c r="AD64" s="326">
        <v>0</v>
      </c>
      <c r="AE64" s="99">
        <v>2500</v>
      </c>
      <c r="AF64" s="98">
        <v>3440</v>
      </c>
      <c r="AG64" s="105">
        <v>0</v>
      </c>
      <c r="AH64" s="231">
        <f>+Janvier!AJ64</f>
        <v>1338.1318681318683</v>
      </c>
      <c r="AI64" s="231">
        <f>+Janvier!AK64</f>
        <v>4163.0769230769229</v>
      </c>
      <c r="AJ64" s="231">
        <f>+Janvier!AL64</f>
        <v>3122.3076923076928</v>
      </c>
      <c r="AK64" s="231">
        <f>+Janvier!AM64</f>
        <v>3122.3076923076928</v>
      </c>
      <c r="AL64" s="231">
        <f>+Janvier!AN64</f>
        <v>1892.3076923076926</v>
      </c>
      <c r="AM64" s="231">
        <f>+Janvier!AO64</f>
        <v>1170.8653846153848</v>
      </c>
      <c r="AN64" s="231">
        <f>+Janvier!AP64</f>
        <v>2341.7307692307695</v>
      </c>
      <c r="AO64" s="231">
        <f>+Janvier!AQ64</f>
        <v>1170.8653846153848</v>
      </c>
      <c r="AP64" s="231">
        <f>+Janvier!AR64</f>
        <v>1170.8653846153848</v>
      </c>
      <c r="AQ64" s="231">
        <f>+Janvier!AS64</f>
        <v>2081.5384615384614</v>
      </c>
      <c r="AR64" s="16">
        <f t="shared" si="97"/>
        <v>7</v>
      </c>
      <c r="AS64" s="16">
        <f t="shared" si="98"/>
        <v>2</v>
      </c>
      <c r="AT64" s="16">
        <f t="shared" si="99"/>
        <v>5</v>
      </c>
      <c r="AU64" s="16">
        <f t="shared" si="100"/>
        <v>7</v>
      </c>
      <c r="AV64" s="16">
        <f t="shared" si="101"/>
        <v>6</v>
      </c>
      <c r="AW64" s="16">
        <f t="shared" si="102"/>
        <v>2</v>
      </c>
      <c r="AX64" s="16">
        <f t="shared" si="103"/>
        <v>5</v>
      </c>
      <c r="AY64" s="16">
        <f t="shared" si="104"/>
        <v>3</v>
      </c>
      <c r="AZ64" s="16">
        <f t="shared" si="105"/>
        <v>6</v>
      </c>
      <c r="BA64" s="17">
        <f t="shared" si="106"/>
        <v>8</v>
      </c>
    </row>
    <row r="65" spans="1:53" ht="15.6" x14ac:dyDescent="0.3">
      <c r="A65" s="199" t="s">
        <v>31</v>
      </c>
      <c r="B65" s="94">
        <v>43862</v>
      </c>
      <c r="C65" s="94">
        <v>43890</v>
      </c>
      <c r="D65" s="95">
        <v>3600</v>
      </c>
      <c r="E65" s="98">
        <v>2000</v>
      </c>
      <c r="F65" s="97">
        <v>0</v>
      </c>
      <c r="G65" s="99">
        <v>6000</v>
      </c>
      <c r="H65" s="98">
        <v>4600</v>
      </c>
      <c r="I65" s="97">
        <v>0</v>
      </c>
      <c r="J65" s="99">
        <v>7800</v>
      </c>
      <c r="K65" s="98">
        <v>5100</v>
      </c>
      <c r="L65" s="97">
        <v>0</v>
      </c>
      <c r="M65" s="99">
        <v>6000</v>
      </c>
      <c r="N65" s="98">
        <v>4400</v>
      </c>
      <c r="O65" s="97">
        <v>0</v>
      </c>
      <c r="P65" s="99">
        <v>3000</v>
      </c>
      <c r="Q65" s="98">
        <v>2500</v>
      </c>
      <c r="R65" s="97">
        <v>0</v>
      </c>
      <c r="S65" s="99">
        <v>2500</v>
      </c>
      <c r="T65" s="98">
        <v>2060</v>
      </c>
      <c r="U65" s="97">
        <v>0</v>
      </c>
      <c r="V65" s="99">
        <v>4500</v>
      </c>
      <c r="W65" s="98">
        <v>4430</v>
      </c>
      <c r="X65" s="97">
        <v>0</v>
      </c>
      <c r="Y65" s="99">
        <v>3000</v>
      </c>
      <c r="Z65" s="98">
        <v>2340</v>
      </c>
      <c r="AA65" s="97">
        <v>0</v>
      </c>
      <c r="AB65" s="95">
        <v>3000</v>
      </c>
      <c r="AC65" s="98">
        <v>1030</v>
      </c>
      <c r="AD65" s="326">
        <v>0</v>
      </c>
      <c r="AE65" s="99">
        <v>6000</v>
      </c>
      <c r="AF65" s="98">
        <v>4960</v>
      </c>
      <c r="AG65" s="105">
        <v>0</v>
      </c>
      <c r="AH65" s="231">
        <f>+Janvier!AJ65</f>
        <v>2561.7857142857147</v>
      </c>
      <c r="AI65" s="231">
        <f>+Janvier!AK65</f>
        <v>7970</v>
      </c>
      <c r="AJ65" s="231">
        <f>+Janvier!AL65</f>
        <v>5977.4999999999991</v>
      </c>
      <c r="AK65" s="231">
        <f>+Janvier!AM65</f>
        <v>5977.4999999999991</v>
      </c>
      <c r="AL65" s="231">
        <f>+Janvier!AN65</f>
        <v>3622.727272727273</v>
      </c>
      <c r="AM65" s="231">
        <f>+Janvier!AO65</f>
        <v>2241.5625</v>
      </c>
      <c r="AN65" s="231">
        <f>+Janvier!AP65</f>
        <v>4483.125</v>
      </c>
      <c r="AO65" s="231">
        <f>+Janvier!AQ65</f>
        <v>2241.5625</v>
      </c>
      <c r="AP65" s="231">
        <f>+Janvier!AR65</f>
        <v>2241.5625</v>
      </c>
      <c r="AQ65" s="231">
        <f>+Janvier!AS65</f>
        <v>3985</v>
      </c>
      <c r="AR65" s="16">
        <f t="shared" si="97"/>
        <v>4</v>
      </c>
      <c r="AS65" s="16">
        <f t="shared" si="98"/>
        <v>3</v>
      </c>
      <c r="AT65" s="16">
        <f t="shared" si="99"/>
        <v>4</v>
      </c>
      <c r="AU65" s="16">
        <f t="shared" si="100"/>
        <v>4</v>
      </c>
      <c r="AV65" s="16">
        <f t="shared" si="101"/>
        <v>3</v>
      </c>
      <c r="AW65" s="16">
        <f t="shared" si="102"/>
        <v>5</v>
      </c>
      <c r="AX65" s="16">
        <f t="shared" si="103"/>
        <v>5</v>
      </c>
      <c r="AY65" s="16">
        <f t="shared" si="104"/>
        <v>5</v>
      </c>
      <c r="AZ65" s="16">
        <f t="shared" si="105"/>
        <v>2</v>
      </c>
      <c r="BA65" s="17">
        <f t="shared" si="106"/>
        <v>6</v>
      </c>
    </row>
    <row r="66" spans="1:53" ht="15.6" x14ac:dyDescent="0.3">
      <c r="A66" s="199" t="s">
        <v>32</v>
      </c>
      <c r="B66" s="94">
        <v>43862</v>
      </c>
      <c r="C66" s="94">
        <v>43890</v>
      </c>
      <c r="D66" s="95">
        <v>800</v>
      </c>
      <c r="E66" s="98">
        <v>860</v>
      </c>
      <c r="F66" s="97">
        <v>0</v>
      </c>
      <c r="G66" s="99">
        <v>2120</v>
      </c>
      <c r="H66" s="98">
        <v>2720</v>
      </c>
      <c r="I66" s="97">
        <v>0</v>
      </c>
      <c r="J66" s="99">
        <v>2280</v>
      </c>
      <c r="K66" s="98">
        <v>2440</v>
      </c>
      <c r="L66" s="97">
        <v>0</v>
      </c>
      <c r="M66" s="99">
        <v>2700</v>
      </c>
      <c r="N66" s="98">
        <v>3408</v>
      </c>
      <c r="O66" s="97">
        <v>0</v>
      </c>
      <c r="P66" s="99">
        <v>850</v>
      </c>
      <c r="Q66" s="98">
        <v>1380</v>
      </c>
      <c r="R66" s="97">
        <v>0</v>
      </c>
      <c r="S66" s="99">
        <v>420</v>
      </c>
      <c r="T66" s="98">
        <v>540</v>
      </c>
      <c r="U66" s="97">
        <v>0</v>
      </c>
      <c r="V66" s="99">
        <v>1200</v>
      </c>
      <c r="W66" s="98">
        <v>1270</v>
      </c>
      <c r="X66" s="97">
        <v>0</v>
      </c>
      <c r="Y66" s="99">
        <v>400</v>
      </c>
      <c r="Z66" s="98">
        <v>1060</v>
      </c>
      <c r="AA66" s="97">
        <v>0</v>
      </c>
      <c r="AB66" s="95">
        <v>0</v>
      </c>
      <c r="AC66" s="98">
        <v>0</v>
      </c>
      <c r="AD66" s="326">
        <v>3</v>
      </c>
      <c r="AE66" s="99">
        <v>900</v>
      </c>
      <c r="AF66" s="98">
        <v>1260</v>
      </c>
      <c r="AG66" s="105">
        <v>0</v>
      </c>
      <c r="AH66" s="231">
        <f>+Janvier!AJ66</f>
        <v>1732.3763736263736</v>
      </c>
      <c r="AI66" s="231">
        <f>+Janvier!AK66</f>
        <v>5389.6153846153857</v>
      </c>
      <c r="AJ66" s="231">
        <f>+Janvier!AL66</f>
        <v>4042.211538461539</v>
      </c>
      <c r="AK66" s="231">
        <f>+Janvier!AM66</f>
        <v>4042.211538461539</v>
      </c>
      <c r="AL66" s="231">
        <f>+Janvier!AN66</f>
        <v>2449.8251748251751</v>
      </c>
      <c r="AM66" s="231">
        <f>+Janvier!AO66</f>
        <v>1515.8293269230767</v>
      </c>
      <c r="AN66" s="231">
        <f>+Janvier!AP66</f>
        <v>3031.6586538461534</v>
      </c>
      <c r="AO66" s="231">
        <f>+Janvier!AQ66</f>
        <v>1515.8293269230767</v>
      </c>
      <c r="AP66" s="231">
        <f>+Janvier!AR66</f>
        <v>1515.8293269230767</v>
      </c>
      <c r="AQ66" s="231">
        <f>+Janvier!AS66</f>
        <v>2694.8076923076928</v>
      </c>
      <c r="AR66" s="16">
        <f t="shared" si="97"/>
        <v>2</v>
      </c>
      <c r="AS66" s="16">
        <f t="shared" si="98"/>
        <v>3</v>
      </c>
      <c r="AT66" s="16">
        <f t="shared" si="99"/>
        <v>3</v>
      </c>
      <c r="AU66" s="16">
        <f t="shared" si="100"/>
        <v>4</v>
      </c>
      <c r="AV66" s="16">
        <f t="shared" si="101"/>
        <v>3</v>
      </c>
      <c r="AW66" s="16">
        <f t="shared" si="102"/>
        <v>2</v>
      </c>
      <c r="AX66" s="16">
        <f t="shared" si="103"/>
        <v>2</v>
      </c>
      <c r="AY66" s="16">
        <f t="shared" si="104"/>
        <v>3</v>
      </c>
      <c r="AZ66" s="16">
        <f t="shared" si="105"/>
        <v>0</v>
      </c>
      <c r="BA66" s="17">
        <f t="shared" si="106"/>
        <v>2</v>
      </c>
    </row>
    <row r="67" spans="1:53" ht="16.2" thickBot="1" x14ac:dyDescent="0.35">
      <c r="A67" s="199" t="s">
        <v>33</v>
      </c>
      <c r="B67" s="94">
        <v>43862</v>
      </c>
      <c r="C67" s="94">
        <v>43890</v>
      </c>
      <c r="D67" s="101">
        <v>1440</v>
      </c>
      <c r="E67" s="102">
        <v>360</v>
      </c>
      <c r="F67" s="97">
        <v>0</v>
      </c>
      <c r="G67" s="103">
        <v>3000</v>
      </c>
      <c r="H67" s="102">
        <v>1200</v>
      </c>
      <c r="I67" s="97">
        <v>0</v>
      </c>
      <c r="J67" s="103">
        <v>2220</v>
      </c>
      <c r="K67" s="102">
        <v>1280</v>
      </c>
      <c r="L67" s="97">
        <v>0</v>
      </c>
      <c r="M67" s="103">
        <v>2000</v>
      </c>
      <c r="N67" s="102">
        <v>1480</v>
      </c>
      <c r="O67" s="97">
        <v>0</v>
      </c>
      <c r="P67" s="103">
        <v>1400</v>
      </c>
      <c r="Q67" s="102">
        <v>265</v>
      </c>
      <c r="R67" s="97">
        <v>0</v>
      </c>
      <c r="S67" s="103">
        <v>800</v>
      </c>
      <c r="T67" s="102">
        <v>330</v>
      </c>
      <c r="U67" s="97">
        <v>0</v>
      </c>
      <c r="V67" s="103">
        <v>1000</v>
      </c>
      <c r="W67" s="102">
        <v>2400</v>
      </c>
      <c r="X67" s="97">
        <v>0</v>
      </c>
      <c r="Y67" s="103">
        <v>800</v>
      </c>
      <c r="Z67" s="102">
        <v>160</v>
      </c>
      <c r="AA67" s="97">
        <v>0</v>
      </c>
      <c r="AB67" s="95">
        <v>1300</v>
      </c>
      <c r="AC67" s="102">
        <v>0</v>
      </c>
      <c r="AD67" s="326">
        <v>3</v>
      </c>
      <c r="AE67" s="103">
        <v>1900</v>
      </c>
      <c r="AF67" s="102">
        <v>1550</v>
      </c>
      <c r="AG67" s="105">
        <v>0</v>
      </c>
      <c r="AH67" s="231">
        <f>+Janvier!AJ67</f>
        <v>1391.4148351648353</v>
      </c>
      <c r="AI67" s="231">
        <f>+Janvier!AK67</f>
        <v>4328.8461538461534</v>
      </c>
      <c r="AJ67" s="231">
        <f>+Janvier!AL67</f>
        <v>3246.6346153846152</v>
      </c>
      <c r="AK67" s="231">
        <f>+Janvier!AM67</f>
        <v>3246.6346153846152</v>
      </c>
      <c r="AL67" s="231">
        <f>+Janvier!AN67</f>
        <v>1967.6573426573427</v>
      </c>
      <c r="AM67" s="231">
        <f>+Janvier!AO67</f>
        <v>1217.4879807692307</v>
      </c>
      <c r="AN67" s="231">
        <f>+Janvier!AP67</f>
        <v>2434.9759615384614</v>
      </c>
      <c r="AO67" s="231">
        <f>+Janvier!AQ67</f>
        <v>1217.4879807692307</v>
      </c>
      <c r="AP67" s="231">
        <f>+Janvier!AR67</f>
        <v>1217.4879807692307</v>
      </c>
      <c r="AQ67" s="231">
        <f>+Janvier!AS67</f>
        <v>2164.4230769230767</v>
      </c>
      <c r="AR67" s="32">
        <f t="shared" si="97"/>
        <v>1</v>
      </c>
      <c r="AS67" s="32">
        <f t="shared" si="98"/>
        <v>1</v>
      </c>
      <c r="AT67" s="32">
        <f t="shared" si="99"/>
        <v>2</v>
      </c>
      <c r="AU67" s="32">
        <f t="shared" si="100"/>
        <v>2</v>
      </c>
      <c r="AV67" s="32">
        <f t="shared" si="101"/>
        <v>1</v>
      </c>
      <c r="AW67" s="32">
        <f t="shared" si="102"/>
        <v>1</v>
      </c>
      <c r="AX67" s="32">
        <f t="shared" si="103"/>
        <v>5</v>
      </c>
      <c r="AY67" s="32">
        <f t="shared" si="104"/>
        <v>1</v>
      </c>
      <c r="AZ67" s="32">
        <f t="shared" si="105"/>
        <v>0</v>
      </c>
      <c r="BA67" s="33">
        <f t="shared" si="106"/>
        <v>4</v>
      </c>
    </row>
    <row r="68" spans="1:53" ht="15.6" x14ac:dyDescent="0.3">
      <c r="A68" s="202" t="s">
        <v>86</v>
      </c>
      <c r="B68" s="181">
        <v>43862</v>
      </c>
      <c r="C68" s="94">
        <v>43890</v>
      </c>
      <c r="D68" s="107">
        <v>99000</v>
      </c>
      <c r="E68" s="182">
        <v>64220</v>
      </c>
      <c r="F68" s="97">
        <v>0</v>
      </c>
      <c r="G68" s="95">
        <v>222000</v>
      </c>
      <c r="H68" s="182">
        <v>225330</v>
      </c>
      <c r="I68" s="97">
        <v>0</v>
      </c>
      <c r="J68" s="96">
        <v>181900</v>
      </c>
      <c r="K68" s="96">
        <v>172780</v>
      </c>
      <c r="L68" s="97">
        <v>0</v>
      </c>
      <c r="M68" s="97">
        <v>216000</v>
      </c>
      <c r="N68" s="97">
        <v>201148</v>
      </c>
      <c r="O68" s="97">
        <v>0</v>
      </c>
      <c r="P68" s="97">
        <v>98000</v>
      </c>
      <c r="Q68" s="97">
        <v>92424</v>
      </c>
      <c r="R68" s="97">
        <v>0</v>
      </c>
      <c r="S68" s="97">
        <v>74000</v>
      </c>
      <c r="T68" s="97">
        <v>68520</v>
      </c>
      <c r="U68" s="97">
        <v>0</v>
      </c>
      <c r="V68" s="97">
        <v>75000</v>
      </c>
      <c r="W68" s="97">
        <v>152820</v>
      </c>
      <c r="X68" s="97">
        <v>0</v>
      </c>
      <c r="Y68" s="97">
        <v>48000</v>
      </c>
      <c r="Z68" s="97">
        <v>34990</v>
      </c>
      <c r="AA68" s="97">
        <v>0</v>
      </c>
      <c r="AB68" s="97">
        <v>35000</v>
      </c>
      <c r="AC68" s="97">
        <v>8850</v>
      </c>
      <c r="AD68" s="97">
        <v>20</v>
      </c>
      <c r="AE68" s="97">
        <v>150800</v>
      </c>
      <c r="AF68" s="97">
        <v>108380</v>
      </c>
      <c r="AG68" s="105">
        <v>0</v>
      </c>
      <c r="AH68" s="231">
        <f>+Janvier!AJ68</f>
        <v>88119.9</v>
      </c>
      <c r="AI68" s="231">
        <f>+Janvier!AK68</f>
        <v>305254.47115384619</v>
      </c>
      <c r="AJ68" s="231">
        <f>+Janvier!AL68</f>
        <v>203299.47778846158</v>
      </c>
      <c r="AK68" s="231">
        <f>+Janvier!AM68</f>
        <v>203299.47778846158</v>
      </c>
      <c r="AL68" s="231">
        <f>+Janvier!AN68</f>
        <v>128206.87788461539</v>
      </c>
      <c r="AM68" s="231">
        <f>+Janvier!AO68</f>
        <v>76313.617788461546</v>
      </c>
      <c r="AN68" s="231">
        <f>+Janvier!AP68</f>
        <v>152627.23557692309</v>
      </c>
      <c r="AO68" s="231">
        <f>+Janvier!AQ68</f>
        <v>76313.617788461546</v>
      </c>
      <c r="AP68" s="231">
        <f>+Janvier!AR68</f>
        <v>76313.617788461546</v>
      </c>
      <c r="AQ68" s="231">
        <f>+Janvier!AS68</f>
        <v>136801.52307692307</v>
      </c>
      <c r="AR68" s="16">
        <f>ROUND(E68/(AH68/15),0)</f>
        <v>11</v>
      </c>
      <c r="AS68" s="16">
        <f t="shared" ref="AS68" si="107">ROUND(H68/(AI68/15),0)</f>
        <v>11</v>
      </c>
      <c r="AT68" s="16">
        <f t="shared" ref="AT68" si="108">ROUND(K68/(AJ68/15),0)</f>
        <v>13</v>
      </c>
      <c r="AU68" s="16">
        <f t="shared" ref="AU68" si="109">ROUND(N68/(AK68/15),0)</f>
        <v>15</v>
      </c>
      <c r="AV68" s="16">
        <f t="shared" ref="AV68" si="110">ROUND(Q68/(AL68/15),0)</f>
        <v>11</v>
      </c>
      <c r="AW68" s="16">
        <f t="shared" ref="AW68" si="111">ROUND(T68/(AM68/15),0)</f>
        <v>13</v>
      </c>
      <c r="AX68" s="16">
        <f t="shared" ref="AX68" si="112">ROUND(W68/(AN68/15),0)</f>
        <v>15</v>
      </c>
      <c r="AY68" s="16">
        <f t="shared" ref="AY68" si="113">ROUND(Z68/(AO68/15),0)</f>
        <v>7</v>
      </c>
      <c r="AZ68" s="16">
        <f t="shared" ref="AZ68" si="114">ROUND(AC68/(AP68/15),0)</f>
        <v>2</v>
      </c>
      <c r="BA68" s="17">
        <f t="shared" ref="BA68" si="115">ROUND(AF68/(AQ68/15),0)</f>
        <v>12</v>
      </c>
    </row>
    <row r="69" spans="1:53" ht="15.6" x14ac:dyDescent="0.3">
      <c r="A69" s="199" t="s">
        <v>63</v>
      </c>
      <c r="B69" s="181">
        <v>43862</v>
      </c>
      <c r="C69" s="94">
        <v>43890</v>
      </c>
      <c r="D69" s="107">
        <v>1000</v>
      </c>
      <c r="E69" s="96">
        <v>80</v>
      </c>
      <c r="F69" s="97">
        <v>0</v>
      </c>
      <c r="G69" s="95">
        <v>2400</v>
      </c>
      <c r="H69" s="96">
        <v>2000</v>
      </c>
      <c r="I69" s="97">
        <v>0</v>
      </c>
      <c r="J69" s="96">
        <v>1400</v>
      </c>
      <c r="K69" s="96">
        <v>1500</v>
      </c>
      <c r="L69" s="97">
        <v>0</v>
      </c>
      <c r="M69" s="97">
        <v>1800</v>
      </c>
      <c r="N69" s="96">
        <v>1450</v>
      </c>
      <c r="O69" s="97">
        <v>0</v>
      </c>
      <c r="P69" s="97">
        <v>850</v>
      </c>
      <c r="Q69" s="96">
        <v>118</v>
      </c>
      <c r="R69" s="97">
        <v>0</v>
      </c>
      <c r="S69" s="96">
        <v>600</v>
      </c>
      <c r="T69" s="96">
        <v>30</v>
      </c>
      <c r="U69" s="97">
        <v>0</v>
      </c>
      <c r="V69" s="96">
        <v>1420</v>
      </c>
      <c r="W69" s="96">
        <v>1440</v>
      </c>
      <c r="X69" s="97">
        <v>0</v>
      </c>
      <c r="Y69" s="95">
        <v>710</v>
      </c>
      <c r="Z69" s="96">
        <v>30</v>
      </c>
      <c r="AA69" s="97">
        <v>0</v>
      </c>
      <c r="AB69" s="95">
        <v>700</v>
      </c>
      <c r="AC69" s="96">
        <v>0</v>
      </c>
      <c r="AD69" s="97">
        <v>29</v>
      </c>
      <c r="AE69" s="95">
        <v>1500</v>
      </c>
      <c r="AF69" s="96">
        <v>150</v>
      </c>
      <c r="AG69" s="105">
        <v>0</v>
      </c>
      <c r="AH69" s="231">
        <f>+Janvier!AJ69</f>
        <v>792.19780219780216</v>
      </c>
      <c r="AI69" s="231">
        <f>+Janvier!AK69</f>
        <v>2464.6153846153848</v>
      </c>
      <c r="AJ69" s="231">
        <f>+Janvier!AL69</f>
        <v>1848.4615384615383</v>
      </c>
      <c r="AK69" s="231">
        <f>+Janvier!AM69</f>
        <v>1848.4615384615383</v>
      </c>
      <c r="AL69" s="231">
        <f>+Janvier!AN69</f>
        <v>1120.2797202797203</v>
      </c>
      <c r="AM69" s="231">
        <f>+Janvier!AO69</f>
        <v>693.17307692307691</v>
      </c>
      <c r="AN69" s="231">
        <f>+Janvier!AP69</f>
        <v>1386.3461538461538</v>
      </c>
      <c r="AO69" s="231">
        <f>+Janvier!AQ69</f>
        <v>693.17307692307691</v>
      </c>
      <c r="AP69" s="231">
        <f>+Janvier!AR69</f>
        <v>693.17307692307691</v>
      </c>
      <c r="AQ69" s="231">
        <f>+Janvier!AS69</f>
        <v>1232.3076923076924</v>
      </c>
      <c r="AR69" s="16">
        <f t="shared" ref="AR69:AR79" si="116">ROUND(E69/(AH69/5),0)</f>
        <v>1</v>
      </c>
      <c r="AS69" s="16">
        <f t="shared" ref="AS69:AS79" si="117">ROUND(H69/(AI69/5),0)</f>
        <v>4</v>
      </c>
      <c r="AT69" s="16">
        <f t="shared" ref="AT69:AT79" si="118">ROUND(K69/(AJ69/5),0)</f>
        <v>4</v>
      </c>
      <c r="AU69" s="16">
        <f t="shared" ref="AU69:AU79" si="119">ROUND(N69/(AK69/5),0)</f>
        <v>4</v>
      </c>
      <c r="AV69" s="16">
        <f t="shared" ref="AV69:AV79" si="120">ROUND(Q69/(AL69/5),0)</f>
        <v>1</v>
      </c>
      <c r="AW69" s="16">
        <f t="shared" ref="AW69:AW79" si="121">ROUND(T69/(AM69/5),0)</f>
        <v>0</v>
      </c>
      <c r="AX69" s="16">
        <f t="shared" ref="AX69:AX79" si="122">ROUND(W69/(AN69/5),0)</f>
        <v>5</v>
      </c>
      <c r="AY69" s="16">
        <f t="shared" ref="AY69:AY79" si="123">ROUND(Z69/(AO69/5),0)</f>
        <v>0</v>
      </c>
      <c r="AZ69" s="16">
        <f t="shared" ref="AZ69:AZ79" si="124">ROUND(AC69/(AP69/5),0)</f>
        <v>0</v>
      </c>
      <c r="BA69" s="17">
        <f t="shared" ref="BA69:BA79" si="125">ROUND(AF69/(AQ69/5),0)</f>
        <v>1</v>
      </c>
    </row>
    <row r="70" spans="1:53" ht="15.6" x14ac:dyDescent="0.3">
      <c r="A70" s="199" t="s">
        <v>64</v>
      </c>
      <c r="B70" s="181">
        <v>43862</v>
      </c>
      <c r="C70" s="94">
        <v>43890</v>
      </c>
      <c r="D70" s="107">
        <v>2380</v>
      </c>
      <c r="E70" s="96">
        <v>0</v>
      </c>
      <c r="F70" s="97">
        <v>0</v>
      </c>
      <c r="G70" s="95">
        <v>3980</v>
      </c>
      <c r="H70" s="96">
        <v>2000</v>
      </c>
      <c r="I70" s="97">
        <v>0</v>
      </c>
      <c r="J70" s="96">
        <v>4080</v>
      </c>
      <c r="K70" s="96">
        <v>400</v>
      </c>
      <c r="L70" s="97">
        <v>0</v>
      </c>
      <c r="M70" s="97">
        <v>3480</v>
      </c>
      <c r="N70" s="96">
        <v>1000</v>
      </c>
      <c r="O70" s="97">
        <v>0</v>
      </c>
      <c r="P70" s="97">
        <v>2660</v>
      </c>
      <c r="Q70" s="96">
        <v>220</v>
      </c>
      <c r="R70" s="97">
        <v>0</v>
      </c>
      <c r="S70" s="96">
        <v>1450</v>
      </c>
      <c r="T70" s="96">
        <v>50</v>
      </c>
      <c r="U70" s="97">
        <v>0</v>
      </c>
      <c r="V70" s="96">
        <v>2360</v>
      </c>
      <c r="W70" s="96">
        <v>1200</v>
      </c>
      <c r="X70" s="97">
        <v>0</v>
      </c>
      <c r="Y70" s="95">
        <v>1460</v>
      </c>
      <c r="Z70" s="96">
        <v>320</v>
      </c>
      <c r="AA70" s="97">
        <v>0</v>
      </c>
      <c r="AB70" s="95">
        <v>1780</v>
      </c>
      <c r="AC70" s="96">
        <v>0</v>
      </c>
      <c r="AD70" s="97">
        <v>29</v>
      </c>
      <c r="AE70" s="95">
        <v>3340</v>
      </c>
      <c r="AF70" s="96">
        <v>400</v>
      </c>
      <c r="AG70" s="105">
        <v>0</v>
      </c>
      <c r="AH70" s="231">
        <f>+Janvier!AJ70</f>
        <v>1980.7417582417584</v>
      </c>
      <c r="AI70" s="231">
        <f>+Janvier!AK70</f>
        <v>6162.3076923076933</v>
      </c>
      <c r="AJ70" s="231">
        <f>+Janvier!AL70</f>
        <v>4621.7307692307704</v>
      </c>
      <c r="AK70" s="231">
        <f>+Janvier!AM70</f>
        <v>4621.7307692307704</v>
      </c>
      <c r="AL70" s="231">
        <f>+Janvier!AN70</f>
        <v>2801.0489510489515</v>
      </c>
      <c r="AM70" s="231">
        <f>+Janvier!AO70</f>
        <v>1733.1490384615383</v>
      </c>
      <c r="AN70" s="231">
        <f>+Janvier!AP70</f>
        <v>3466.2980769230767</v>
      </c>
      <c r="AO70" s="231">
        <f>+Janvier!AQ70</f>
        <v>1733.1490384615383</v>
      </c>
      <c r="AP70" s="231">
        <f>+Janvier!AR70</f>
        <v>1733.1490384615383</v>
      </c>
      <c r="AQ70" s="231">
        <f>+Janvier!AS70</f>
        <v>3081.1538461538466</v>
      </c>
      <c r="AR70" s="16">
        <f t="shared" si="116"/>
        <v>0</v>
      </c>
      <c r="AS70" s="16">
        <f t="shared" si="117"/>
        <v>2</v>
      </c>
      <c r="AT70" s="16">
        <f t="shared" si="118"/>
        <v>0</v>
      </c>
      <c r="AU70" s="16">
        <f t="shared" si="119"/>
        <v>1</v>
      </c>
      <c r="AV70" s="16">
        <f t="shared" si="120"/>
        <v>0</v>
      </c>
      <c r="AW70" s="16">
        <f t="shared" si="121"/>
        <v>0</v>
      </c>
      <c r="AX70" s="16">
        <f t="shared" si="122"/>
        <v>2</v>
      </c>
      <c r="AY70" s="16">
        <f t="shared" si="123"/>
        <v>1</v>
      </c>
      <c r="AZ70" s="16">
        <f t="shared" si="124"/>
        <v>0</v>
      </c>
      <c r="BA70" s="17">
        <f t="shared" si="125"/>
        <v>1</v>
      </c>
    </row>
    <row r="71" spans="1:53" ht="15.6" x14ac:dyDescent="0.3">
      <c r="A71" s="199" t="s">
        <v>65</v>
      </c>
      <c r="B71" s="181">
        <v>43862</v>
      </c>
      <c r="C71" s="94">
        <v>43890</v>
      </c>
      <c r="D71" s="107">
        <v>2890</v>
      </c>
      <c r="E71" s="96">
        <v>480</v>
      </c>
      <c r="F71" s="97">
        <v>0</v>
      </c>
      <c r="G71" s="95">
        <v>6400</v>
      </c>
      <c r="H71" s="96">
        <v>2400</v>
      </c>
      <c r="I71" s="97">
        <v>0</v>
      </c>
      <c r="J71" s="96">
        <v>6400</v>
      </c>
      <c r="K71" s="96">
        <v>150</v>
      </c>
      <c r="L71" s="97">
        <v>0</v>
      </c>
      <c r="M71" s="97">
        <v>5900</v>
      </c>
      <c r="N71" s="96">
        <v>784</v>
      </c>
      <c r="O71" s="97">
        <v>0</v>
      </c>
      <c r="P71" s="97">
        <v>3935</v>
      </c>
      <c r="Q71" s="96">
        <v>281</v>
      </c>
      <c r="R71" s="97">
        <v>0</v>
      </c>
      <c r="S71" s="96">
        <v>1100</v>
      </c>
      <c r="T71" s="96">
        <v>0</v>
      </c>
      <c r="U71" s="97">
        <v>0</v>
      </c>
      <c r="V71" s="96">
        <v>3830</v>
      </c>
      <c r="W71" s="96">
        <v>1390</v>
      </c>
      <c r="X71" s="97">
        <v>0</v>
      </c>
      <c r="Y71" s="95">
        <v>1730</v>
      </c>
      <c r="Z71" s="96">
        <v>460</v>
      </c>
      <c r="AA71" s="97">
        <v>0</v>
      </c>
      <c r="AB71" s="95">
        <v>1670</v>
      </c>
      <c r="AC71" s="96">
        <v>0</v>
      </c>
      <c r="AD71" s="97">
        <v>29</v>
      </c>
      <c r="AE71" s="95">
        <v>450</v>
      </c>
      <c r="AF71" s="96">
        <v>700</v>
      </c>
      <c r="AG71" s="105">
        <v>0</v>
      </c>
      <c r="AH71" s="231">
        <f>+Janvier!AJ71</f>
        <v>2906.4560439560446</v>
      </c>
      <c r="AI71" s="231">
        <f>+Janvier!AK71</f>
        <v>9042.3076923076933</v>
      </c>
      <c r="AJ71" s="231">
        <f>+Janvier!AL71</f>
        <v>6781.7307692307695</v>
      </c>
      <c r="AK71" s="231">
        <f>+Janvier!AM71</f>
        <v>6781.7307692307695</v>
      </c>
      <c r="AL71" s="231">
        <f>+Janvier!AN71</f>
        <v>4110.1398601398605</v>
      </c>
      <c r="AM71" s="231">
        <f>+Janvier!AO71</f>
        <v>2543.1490384615386</v>
      </c>
      <c r="AN71" s="231">
        <f>+Janvier!AP71</f>
        <v>5086.2980769230771</v>
      </c>
      <c r="AO71" s="231">
        <f>+Janvier!AQ71</f>
        <v>2543.1490384615386</v>
      </c>
      <c r="AP71" s="231">
        <f>+Janvier!AR71</f>
        <v>2543.1490384615386</v>
      </c>
      <c r="AQ71" s="231">
        <f>+Janvier!AS71</f>
        <v>4521.1538461538466</v>
      </c>
      <c r="AR71" s="16">
        <f t="shared" si="116"/>
        <v>1</v>
      </c>
      <c r="AS71" s="16">
        <f t="shared" si="117"/>
        <v>1</v>
      </c>
      <c r="AT71" s="16">
        <f t="shared" si="118"/>
        <v>0</v>
      </c>
      <c r="AU71" s="16">
        <f t="shared" si="119"/>
        <v>1</v>
      </c>
      <c r="AV71" s="16">
        <f t="shared" si="120"/>
        <v>0</v>
      </c>
      <c r="AW71" s="16">
        <f t="shared" si="121"/>
        <v>0</v>
      </c>
      <c r="AX71" s="16">
        <f t="shared" si="122"/>
        <v>1</v>
      </c>
      <c r="AY71" s="16">
        <f t="shared" si="123"/>
        <v>1</v>
      </c>
      <c r="AZ71" s="16">
        <f t="shared" si="124"/>
        <v>0</v>
      </c>
      <c r="BA71" s="17">
        <f t="shared" si="125"/>
        <v>1</v>
      </c>
    </row>
    <row r="72" spans="1:53" ht="15.6" x14ac:dyDescent="0.3">
      <c r="A72" s="203" t="s">
        <v>66</v>
      </c>
      <c r="B72" s="181">
        <v>43862</v>
      </c>
      <c r="C72" s="94">
        <v>43890</v>
      </c>
      <c r="D72" s="107">
        <v>2300</v>
      </c>
      <c r="E72" s="96">
        <v>920</v>
      </c>
      <c r="F72" s="97">
        <v>0</v>
      </c>
      <c r="G72" s="95">
        <v>4720</v>
      </c>
      <c r="H72" s="96">
        <v>3400</v>
      </c>
      <c r="I72" s="97">
        <v>0</v>
      </c>
      <c r="J72" s="96">
        <v>4260</v>
      </c>
      <c r="K72" s="96">
        <v>1830</v>
      </c>
      <c r="L72" s="97">
        <v>0</v>
      </c>
      <c r="M72" s="97">
        <v>4000</v>
      </c>
      <c r="N72" s="96">
        <v>2172</v>
      </c>
      <c r="O72" s="97">
        <v>0</v>
      </c>
      <c r="P72" s="97">
        <v>2442</v>
      </c>
      <c r="Q72" s="96">
        <v>1464</v>
      </c>
      <c r="R72" s="97">
        <v>0</v>
      </c>
      <c r="S72" s="96">
        <v>1410</v>
      </c>
      <c r="T72" s="96">
        <v>620</v>
      </c>
      <c r="U72" s="97">
        <v>0</v>
      </c>
      <c r="V72" s="96">
        <v>2710</v>
      </c>
      <c r="W72" s="96">
        <v>2120</v>
      </c>
      <c r="X72" s="97">
        <v>0</v>
      </c>
      <c r="Y72" s="95">
        <v>1640</v>
      </c>
      <c r="Z72" s="96">
        <v>780</v>
      </c>
      <c r="AA72" s="97">
        <v>0</v>
      </c>
      <c r="AB72" s="95">
        <v>2400</v>
      </c>
      <c r="AC72" s="96">
        <v>0</v>
      </c>
      <c r="AD72" s="97">
        <v>29</v>
      </c>
      <c r="AE72" s="95">
        <v>3570</v>
      </c>
      <c r="AF72" s="96">
        <v>1510</v>
      </c>
      <c r="AG72" s="105">
        <v>0</v>
      </c>
      <c r="AH72" s="231">
        <f>+Janvier!AJ72</f>
        <v>2692.335164835165</v>
      </c>
      <c r="AI72" s="231">
        <f>+Janvier!AK72</f>
        <v>8376.1538461538457</v>
      </c>
      <c r="AJ72" s="231">
        <f>+Janvier!AL72</f>
        <v>6282.1153846153857</v>
      </c>
      <c r="AK72" s="231">
        <f>+Janvier!AM72</f>
        <v>6282.1153846153857</v>
      </c>
      <c r="AL72" s="231">
        <f>+Janvier!AN72</f>
        <v>3807.3426573426577</v>
      </c>
      <c r="AM72" s="231">
        <f>+Janvier!AO72</f>
        <v>2355.7932692307695</v>
      </c>
      <c r="AN72" s="231">
        <f>+Janvier!AP72</f>
        <v>4711.586538461539</v>
      </c>
      <c r="AO72" s="231">
        <f>+Janvier!AQ72</f>
        <v>2355.7932692307695</v>
      </c>
      <c r="AP72" s="231">
        <f>+Janvier!AR72</f>
        <v>2355.7932692307695</v>
      </c>
      <c r="AQ72" s="231">
        <f>+Janvier!AS72</f>
        <v>4188.0769230769229</v>
      </c>
      <c r="AR72" s="16">
        <f t="shared" si="116"/>
        <v>2</v>
      </c>
      <c r="AS72" s="16">
        <f t="shared" si="117"/>
        <v>2</v>
      </c>
      <c r="AT72" s="16">
        <f t="shared" si="118"/>
        <v>1</v>
      </c>
      <c r="AU72" s="16">
        <f t="shared" si="119"/>
        <v>2</v>
      </c>
      <c r="AV72" s="16">
        <f t="shared" si="120"/>
        <v>2</v>
      </c>
      <c r="AW72" s="16">
        <f t="shared" si="121"/>
        <v>1</v>
      </c>
      <c r="AX72" s="16">
        <f t="shared" si="122"/>
        <v>2</v>
      </c>
      <c r="AY72" s="16">
        <f t="shared" si="123"/>
        <v>2</v>
      </c>
      <c r="AZ72" s="16">
        <f t="shared" si="124"/>
        <v>0</v>
      </c>
      <c r="BA72" s="17">
        <f t="shared" si="125"/>
        <v>2</v>
      </c>
    </row>
    <row r="73" spans="1:53" ht="15.6" x14ac:dyDescent="0.3">
      <c r="A73" s="203" t="s">
        <v>67</v>
      </c>
      <c r="B73" s="181">
        <v>43862</v>
      </c>
      <c r="C73" s="94">
        <v>43890</v>
      </c>
      <c r="D73" s="107">
        <v>4600</v>
      </c>
      <c r="E73" s="96">
        <v>1000</v>
      </c>
      <c r="F73" s="97">
        <v>0</v>
      </c>
      <c r="G73" s="95">
        <v>8860</v>
      </c>
      <c r="H73" s="96">
        <v>5460</v>
      </c>
      <c r="I73" s="97">
        <v>0</v>
      </c>
      <c r="J73" s="96">
        <v>8200</v>
      </c>
      <c r="K73" s="96">
        <v>2530</v>
      </c>
      <c r="L73" s="97">
        <v>0</v>
      </c>
      <c r="M73" s="97">
        <v>7488</v>
      </c>
      <c r="N73" s="96">
        <v>3246</v>
      </c>
      <c r="O73" s="97">
        <v>0</v>
      </c>
      <c r="P73" s="97">
        <v>4312</v>
      </c>
      <c r="Q73" s="96">
        <v>2571</v>
      </c>
      <c r="R73" s="97">
        <v>0</v>
      </c>
      <c r="S73" s="96">
        <v>1600</v>
      </c>
      <c r="T73" s="96">
        <v>850</v>
      </c>
      <c r="U73" s="97">
        <v>0</v>
      </c>
      <c r="V73" s="96">
        <v>5650</v>
      </c>
      <c r="W73" s="96">
        <v>2870</v>
      </c>
      <c r="X73" s="97">
        <v>0</v>
      </c>
      <c r="Y73" s="95">
        <v>3350</v>
      </c>
      <c r="Z73" s="96">
        <v>910</v>
      </c>
      <c r="AA73" s="97">
        <v>0</v>
      </c>
      <c r="AB73" s="95">
        <v>1890</v>
      </c>
      <c r="AC73" s="96">
        <v>0</v>
      </c>
      <c r="AD73" s="97">
        <v>29</v>
      </c>
      <c r="AE73" s="95">
        <v>8900</v>
      </c>
      <c r="AF73" s="96">
        <v>1810</v>
      </c>
      <c r="AG73" s="105">
        <v>0</v>
      </c>
      <c r="AH73" s="231">
        <f>+Janvier!AJ73</f>
        <v>4744.9038461538466</v>
      </c>
      <c r="AI73" s="231">
        <f>+Janvier!AK73</f>
        <v>14761.923076923076</v>
      </c>
      <c r="AJ73" s="231">
        <f>+Janvier!AL73</f>
        <v>11071.442307692309</v>
      </c>
      <c r="AK73" s="231">
        <f>+Janvier!AM73</f>
        <v>11071.442307692309</v>
      </c>
      <c r="AL73" s="231">
        <f>+Janvier!AN73</f>
        <v>6709.9650349650356</v>
      </c>
      <c r="AM73" s="231">
        <f>+Janvier!AO73</f>
        <v>4151.7908653846152</v>
      </c>
      <c r="AN73" s="231">
        <f>+Janvier!AP73</f>
        <v>8303.5817307692305</v>
      </c>
      <c r="AO73" s="231">
        <f>+Janvier!AQ73</f>
        <v>4151.7908653846152</v>
      </c>
      <c r="AP73" s="231">
        <f>+Janvier!AR73</f>
        <v>4151.7908653846152</v>
      </c>
      <c r="AQ73" s="231">
        <f>+Janvier!AS73</f>
        <v>7380.9615384615381</v>
      </c>
      <c r="AR73" s="16">
        <f t="shared" si="116"/>
        <v>1</v>
      </c>
      <c r="AS73" s="16">
        <f t="shared" si="117"/>
        <v>2</v>
      </c>
      <c r="AT73" s="16">
        <f t="shared" si="118"/>
        <v>1</v>
      </c>
      <c r="AU73" s="16">
        <f t="shared" si="119"/>
        <v>1</v>
      </c>
      <c r="AV73" s="16">
        <f t="shared" si="120"/>
        <v>2</v>
      </c>
      <c r="AW73" s="16">
        <f t="shared" si="121"/>
        <v>1</v>
      </c>
      <c r="AX73" s="16">
        <f t="shared" si="122"/>
        <v>2</v>
      </c>
      <c r="AY73" s="16">
        <f t="shared" si="123"/>
        <v>1</v>
      </c>
      <c r="AZ73" s="16">
        <f t="shared" si="124"/>
        <v>0</v>
      </c>
      <c r="BA73" s="17">
        <f t="shared" si="125"/>
        <v>1</v>
      </c>
    </row>
    <row r="74" spans="1:53" ht="15.6" x14ac:dyDescent="0.3">
      <c r="A74" s="203" t="s">
        <v>68</v>
      </c>
      <c r="B74" s="181">
        <v>43862</v>
      </c>
      <c r="C74" s="94">
        <v>43890</v>
      </c>
      <c r="D74" s="107">
        <v>3340</v>
      </c>
      <c r="E74" s="96">
        <v>580</v>
      </c>
      <c r="F74" s="97">
        <v>0</v>
      </c>
      <c r="G74" s="95">
        <v>6400</v>
      </c>
      <c r="H74" s="96">
        <v>2170</v>
      </c>
      <c r="I74" s="97">
        <v>0</v>
      </c>
      <c r="J74" s="96">
        <v>5240</v>
      </c>
      <c r="K74" s="96">
        <v>2170</v>
      </c>
      <c r="L74" s="97">
        <v>0</v>
      </c>
      <c r="M74" s="97">
        <v>5772</v>
      </c>
      <c r="N74" s="96">
        <v>1644</v>
      </c>
      <c r="O74" s="97">
        <v>0</v>
      </c>
      <c r="P74" s="97">
        <v>3870</v>
      </c>
      <c r="Q74" s="96">
        <v>886</v>
      </c>
      <c r="R74" s="97">
        <v>0</v>
      </c>
      <c r="S74" s="96">
        <v>1100</v>
      </c>
      <c r="T74" s="96">
        <v>910</v>
      </c>
      <c r="U74" s="97">
        <v>0</v>
      </c>
      <c r="V74" s="96">
        <v>3500</v>
      </c>
      <c r="W74" s="96">
        <v>2500</v>
      </c>
      <c r="X74" s="97">
        <v>0</v>
      </c>
      <c r="Y74" s="95">
        <v>1880</v>
      </c>
      <c r="Z74" s="96">
        <v>1540</v>
      </c>
      <c r="AA74" s="97">
        <v>0</v>
      </c>
      <c r="AB74" s="95">
        <v>2730</v>
      </c>
      <c r="AC74" s="96">
        <v>0</v>
      </c>
      <c r="AD74" s="97">
        <v>29</v>
      </c>
      <c r="AE74" s="95">
        <v>450</v>
      </c>
      <c r="AF74" s="96">
        <v>1860</v>
      </c>
      <c r="AG74" s="105">
        <v>0</v>
      </c>
      <c r="AH74" s="231">
        <f>+Janvier!AJ74</f>
        <v>3278.4478021978025</v>
      </c>
      <c r="AI74" s="231">
        <f>+Janvier!AK74</f>
        <v>10199.615384615387</v>
      </c>
      <c r="AJ74" s="231">
        <f>+Janvier!AL74</f>
        <v>7649.7115384615381</v>
      </c>
      <c r="AK74" s="231">
        <f>+Janvier!AM74</f>
        <v>7649.7115384615381</v>
      </c>
      <c r="AL74" s="231">
        <f>+Janvier!AN74</f>
        <v>4636.188811188812</v>
      </c>
      <c r="AM74" s="231">
        <f>+Janvier!AO74</f>
        <v>2868.6418269230771</v>
      </c>
      <c r="AN74" s="231">
        <f>+Janvier!AP74</f>
        <v>5737.2836538461543</v>
      </c>
      <c r="AO74" s="231">
        <f>+Janvier!AQ74</f>
        <v>2868.6418269230771</v>
      </c>
      <c r="AP74" s="231">
        <f>+Janvier!AR74</f>
        <v>2868.6418269230771</v>
      </c>
      <c r="AQ74" s="231">
        <f>+Janvier!AS74</f>
        <v>5099.8076923076933</v>
      </c>
      <c r="AR74" s="16">
        <f t="shared" si="116"/>
        <v>1</v>
      </c>
      <c r="AS74" s="16">
        <f t="shared" si="117"/>
        <v>1</v>
      </c>
      <c r="AT74" s="16">
        <f t="shared" si="118"/>
        <v>1</v>
      </c>
      <c r="AU74" s="16">
        <f t="shared" si="119"/>
        <v>1</v>
      </c>
      <c r="AV74" s="16">
        <f t="shared" si="120"/>
        <v>1</v>
      </c>
      <c r="AW74" s="16">
        <f t="shared" si="121"/>
        <v>2</v>
      </c>
      <c r="AX74" s="16">
        <f t="shared" si="122"/>
        <v>2</v>
      </c>
      <c r="AY74" s="16">
        <f t="shared" si="123"/>
        <v>3</v>
      </c>
      <c r="AZ74" s="16">
        <f t="shared" si="124"/>
        <v>0</v>
      </c>
      <c r="BA74" s="17">
        <f t="shared" si="125"/>
        <v>2</v>
      </c>
    </row>
    <row r="75" spans="1:53" ht="15.6" x14ac:dyDescent="0.3">
      <c r="A75" s="203" t="s">
        <v>69</v>
      </c>
      <c r="B75" s="181">
        <v>43862</v>
      </c>
      <c r="C75" s="94">
        <v>43890</v>
      </c>
      <c r="D75" s="107">
        <v>3660</v>
      </c>
      <c r="E75" s="96">
        <v>1320</v>
      </c>
      <c r="F75" s="97">
        <v>0</v>
      </c>
      <c r="G75" s="95">
        <v>8460</v>
      </c>
      <c r="H75" s="96">
        <v>4120</v>
      </c>
      <c r="I75" s="97">
        <v>0</v>
      </c>
      <c r="J75" s="96">
        <v>7290</v>
      </c>
      <c r="K75" s="96">
        <v>2140</v>
      </c>
      <c r="L75" s="97">
        <v>0</v>
      </c>
      <c r="M75" s="97">
        <v>7240</v>
      </c>
      <c r="N75" s="96">
        <v>2184</v>
      </c>
      <c r="O75" s="97">
        <v>0</v>
      </c>
      <c r="P75" s="97">
        <v>44421</v>
      </c>
      <c r="Q75" s="97">
        <v>1626</v>
      </c>
      <c r="R75" s="97">
        <v>0</v>
      </c>
      <c r="S75" s="96">
        <v>2370</v>
      </c>
      <c r="T75" s="96">
        <v>770</v>
      </c>
      <c r="U75" s="97">
        <v>0</v>
      </c>
      <c r="V75" s="96">
        <v>5070</v>
      </c>
      <c r="W75" s="96">
        <v>2410</v>
      </c>
      <c r="X75" s="97">
        <v>0</v>
      </c>
      <c r="Y75" s="95">
        <v>2580</v>
      </c>
      <c r="Z75" s="96">
        <v>1160</v>
      </c>
      <c r="AA75" s="97">
        <v>0</v>
      </c>
      <c r="AB75" s="95">
        <v>1000</v>
      </c>
      <c r="AC75" s="96">
        <v>1210</v>
      </c>
      <c r="AD75" s="97">
        <v>20</v>
      </c>
      <c r="AE75" s="95">
        <v>5200</v>
      </c>
      <c r="AF75" s="96">
        <v>2680</v>
      </c>
      <c r="AG75" s="105">
        <v>0</v>
      </c>
      <c r="AH75" s="231">
        <f>+Janvier!AJ75</f>
        <v>4167.9395604395613</v>
      </c>
      <c r="AI75" s="231">
        <f>+Janvier!AK75</f>
        <v>12966.923076923082</v>
      </c>
      <c r="AJ75" s="231">
        <f>+Janvier!AL75</f>
        <v>9725.1923076923085</v>
      </c>
      <c r="AK75" s="231">
        <f>+Janvier!AM75</f>
        <v>9725.1923076923085</v>
      </c>
      <c r="AL75" s="231">
        <f>+Janvier!AN75</f>
        <v>5894.0559440559446</v>
      </c>
      <c r="AM75" s="231">
        <f>+Janvier!AO75</f>
        <v>3646.9471153846152</v>
      </c>
      <c r="AN75" s="231">
        <f>+Janvier!AP75</f>
        <v>7293.8942307692305</v>
      </c>
      <c r="AO75" s="231">
        <f>+Janvier!AQ75</f>
        <v>3646.9471153846152</v>
      </c>
      <c r="AP75" s="231">
        <f>+Janvier!AR75</f>
        <v>3646.9471153846152</v>
      </c>
      <c r="AQ75" s="231">
        <f>+Janvier!AS75</f>
        <v>6483.4615384615408</v>
      </c>
      <c r="AR75" s="16">
        <f t="shared" si="116"/>
        <v>2</v>
      </c>
      <c r="AS75" s="16">
        <f t="shared" si="117"/>
        <v>2</v>
      </c>
      <c r="AT75" s="16">
        <f t="shared" si="118"/>
        <v>1</v>
      </c>
      <c r="AU75" s="16">
        <f t="shared" si="119"/>
        <v>1</v>
      </c>
      <c r="AV75" s="16">
        <f t="shared" si="120"/>
        <v>1</v>
      </c>
      <c r="AW75" s="16">
        <f t="shared" si="121"/>
        <v>1</v>
      </c>
      <c r="AX75" s="16">
        <f t="shared" si="122"/>
        <v>2</v>
      </c>
      <c r="AY75" s="16">
        <f t="shared" si="123"/>
        <v>2</v>
      </c>
      <c r="AZ75" s="16">
        <f t="shared" si="124"/>
        <v>2</v>
      </c>
      <c r="BA75" s="17">
        <f t="shared" si="125"/>
        <v>2</v>
      </c>
    </row>
    <row r="76" spans="1:53" ht="15.6" x14ac:dyDescent="0.3">
      <c r="A76" s="203" t="s">
        <v>70</v>
      </c>
      <c r="B76" s="181">
        <v>43862</v>
      </c>
      <c r="C76" s="94">
        <v>43890</v>
      </c>
      <c r="D76" s="107">
        <v>3180</v>
      </c>
      <c r="E76" s="96">
        <v>0</v>
      </c>
      <c r="F76" s="97">
        <v>0</v>
      </c>
      <c r="G76" s="95">
        <v>7580</v>
      </c>
      <c r="H76" s="96">
        <v>440</v>
      </c>
      <c r="I76" s="97">
        <v>0</v>
      </c>
      <c r="J76" s="96">
        <v>5750</v>
      </c>
      <c r="K76" s="96">
        <v>270</v>
      </c>
      <c r="L76" s="97">
        <v>0</v>
      </c>
      <c r="M76" s="97">
        <v>5840</v>
      </c>
      <c r="N76" s="96">
        <v>176</v>
      </c>
      <c r="O76" s="97">
        <v>0</v>
      </c>
      <c r="P76" s="97">
        <v>3608</v>
      </c>
      <c r="Q76" s="96">
        <v>250</v>
      </c>
      <c r="R76" s="97">
        <v>0</v>
      </c>
      <c r="S76" s="96">
        <v>1910</v>
      </c>
      <c r="T76" s="96">
        <v>100</v>
      </c>
      <c r="U76" s="97">
        <v>0</v>
      </c>
      <c r="V76" s="96">
        <v>3530</v>
      </c>
      <c r="W76" s="96">
        <v>1250</v>
      </c>
      <c r="X76" s="97">
        <v>0</v>
      </c>
      <c r="Y76" s="95">
        <v>2070</v>
      </c>
      <c r="Z76" s="96">
        <v>320</v>
      </c>
      <c r="AA76" s="97">
        <v>0</v>
      </c>
      <c r="AB76" s="95">
        <v>2400</v>
      </c>
      <c r="AC76" s="96">
        <v>0</v>
      </c>
      <c r="AD76" s="97">
        <v>29</v>
      </c>
      <c r="AE76" s="95">
        <v>3700</v>
      </c>
      <c r="AF76" s="96">
        <v>1310</v>
      </c>
      <c r="AG76" s="105">
        <v>0</v>
      </c>
      <c r="AH76" s="231">
        <f>+Janvier!AJ76</f>
        <v>2027.1016483516485</v>
      </c>
      <c r="AI76" s="231">
        <f>+Janvier!AK76</f>
        <v>6306.5384615384628</v>
      </c>
      <c r="AJ76" s="231">
        <f>+Janvier!AL76</f>
        <v>4729.9038461538466</v>
      </c>
      <c r="AK76" s="231">
        <f>+Janvier!AM76</f>
        <v>4729.9038461538466</v>
      </c>
      <c r="AL76" s="231">
        <f>+Janvier!AN76</f>
        <v>2866.6083916083921</v>
      </c>
      <c r="AM76" s="231">
        <f>+Janvier!AO76</f>
        <v>1773.7139423076924</v>
      </c>
      <c r="AN76" s="231">
        <f>+Janvier!AP76</f>
        <v>3547.4278846153848</v>
      </c>
      <c r="AO76" s="231">
        <f>+Janvier!AQ76</f>
        <v>1773.7139423076924</v>
      </c>
      <c r="AP76" s="231">
        <f>+Janvier!AR76</f>
        <v>1773.7139423076924</v>
      </c>
      <c r="AQ76" s="231">
        <f>+Janvier!AS76</f>
        <v>3153.2692307692314</v>
      </c>
      <c r="AR76" s="16">
        <f t="shared" si="116"/>
        <v>0</v>
      </c>
      <c r="AS76" s="16">
        <f t="shared" si="117"/>
        <v>0</v>
      </c>
      <c r="AT76" s="16">
        <f t="shared" si="118"/>
        <v>0</v>
      </c>
      <c r="AU76" s="16">
        <f t="shared" si="119"/>
        <v>0</v>
      </c>
      <c r="AV76" s="16">
        <f t="shared" si="120"/>
        <v>0</v>
      </c>
      <c r="AW76" s="16">
        <f t="shared" si="121"/>
        <v>0</v>
      </c>
      <c r="AX76" s="16">
        <f t="shared" si="122"/>
        <v>2</v>
      </c>
      <c r="AY76" s="16">
        <f t="shared" si="123"/>
        <v>1</v>
      </c>
      <c r="AZ76" s="16">
        <f t="shared" si="124"/>
        <v>0</v>
      </c>
      <c r="BA76" s="17">
        <f t="shared" si="125"/>
        <v>2</v>
      </c>
    </row>
    <row r="77" spans="1:53" ht="15.6" x14ac:dyDescent="0.3">
      <c r="A77" s="203" t="s">
        <v>71</v>
      </c>
      <c r="B77" s="181">
        <v>43862</v>
      </c>
      <c r="C77" s="94">
        <v>43890</v>
      </c>
      <c r="D77" s="107">
        <v>4000</v>
      </c>
      <c r="E77" s="107">
        <v>160</v>
      </c>
      <c r="F77" s="97">
        <v>0</v>
      </c>
      <c r="G77" s="95">
        <v>8800</v>
      </c>
      <c r="H77" s="96">
        <v>1830</v>
      </c>
      <c r="I77" s="97">
        <v>0</v>
      </c>
      <c r="J77" s="96">
        <v>3750</v>
      </c>
      <c r="K77" s="96">
        <v>4220</v>
      </c>
      <c r="L77" s="97">
        <v>0</v>
      </c>
      <c r="M77" s="97">
        <v>6800</v>
      </c>
      <c r="N77" s="96">
        <v>1164</v>
      </c>
      <c r="O77" s="97">
        <v>0</v>
      </c>
      <c r="P77" s="97">
        <v>5043</v>
      </c>
      <c r="Q77" s="96">
        <v>70</v>
      </c>
      <c r="R77" s="97">
        <v>0</v>
      </c>
      <c r="S77" s="96">
        <v>2080</v>
      </c>
      <c r="T77" s="96">
        <v>570</v>
      </c>
      <c r="U77" s="97">
        <v>0</v>
      </c>
      <c r="V77" s="96">
        <v>0</v>
      </c>
      <c r="W77" s="96">
        <v>6160</v>
      </c>
      <c r="X77" s="97">
        <v>0</v>
      </c>
      <c r="Y77" s="95">
        <v>3000</v>
      </c>
      <c r="Z77" s="96">
        <v>150</v>
      </c>
      <c r="AA77" s="97">
        <v>0</v>
      </c>
      <c r="AB77" s="95">
        <v>1000</v>
      </c>
      <c r="AC77" s="96">
        <v>1320</v>
      </c>
      <c r="AD77" s="97">
        <v>20</v>
      </c>
      <c r="AE77" s="95">
        <v>5400</v>
      </c>
      <c r="AF77" s="96">
        <v>1280</v>
      </c>
      <c r="AG77" s="105">
        <v>0</v>
      </c>
      <c r="AH77" s="231">
        <f>+Janvier!AJ77</f>
        <v>3524.4642857142853</v>
      </c>
      <c r="AI77" s="231">
        <f>+Janvier!AK77</f>
        <v>10965.000000000002</v>
      </c>
      <c r="AJ77" s="231">
        <f>+Janvier!AL77</f>
        <v>8223.75</v>
      </c>
      <c r="AK77" s="231">
        <f>+Janvier!AM77</f>
        <v>8223.75</v>
      </c>
      <c r="AL77" s="231">
        <f>+Janvier!AN77</f>
        <v>4984.0909090909099</v>
      </c>
      <c r="AM77" s="231">
        <f>+Janvier!AO77</f>
        <v>3083.9062500000005</v>
      </c>
      <c r="AN77" s="231">
        <f>+Janvier!AP77</f>
        <v>6167.8125000000009</v>
      </c>
      <c r="AO77" s="231">
        <f>+Janvier!AQ77</f>
        <v>3083.9062500000005</v>
      </c>
      <c r="AP77" s="231">
        <f>+Janvier!AR77</f>
        <v>3083.9062500000005</v>
      </c>
      <c r="AQ77" s="231">
        <f>+Janvier!AS77</f>
        <v>5482.5000000000009</v>
      </c>
      <c r="AR77" s="16">
        <f t="shared" si="116"/>
        <v>0</v>
      </c>
      <c r="AS77" s="16">
        <f t="shared" si="117"/>
        <v>1</v>
      </c>
      <c r="AT77" s="16">
        <f t="shared" si="118"/>
        <v>3</v>
      </c>
      <c r="AU77" s="16">
        <f t="shared" si="119"/>
        <v>1</v>
      </c>
      <c r="AV77" s="16">
        <f t="shared" si="120"/>
        <v>0</v>
      </c>
      <c r="AW77" s="16">
        <f t="shared" si="121"/>
        <v>1</v>
      </c>
      <c r="AX77" s="16">
        <f t="shared" si="122"/>
        <v>5</v>
      </c>
      <c r="AY77" s="16">
        <f t="shared" si="123"/>
        <v>0</v>
      </c>
      <c r="AZ77" s="16">
        <f t="shared" si="124"/>
        <v>2</v>
      </c>
      <c r="BA77" s="17">
        <f t="shared" si="125"/>
        <v>1</v>
      </c>
    </row>
    <row r="78" spans="1:53" ht="15.6" x14ac:dyDescent="0.3">
      <c r="A78" s="203" t="s">
        <v>72</v>
      </c>
      <c r="B78" s="181">
        <v>43862</v>
      </c>
      <c r="C78" s="94">
        <v>43890</v>
      </c>
      <c r="D78" s="107">
        <v>340</v>
      </c>
      <c r="E78" s="96">
        <v>0</v>
      </c>
      <c r="F78" s="97">
        <v>0</v>
      </c>
      <c r="G78" s="95">
        <v>720</v>
      </c>
      <c r="H78" s="96">
        <v>280</v>
      </c>
      <c r="I78" s="97">
        <v>0</v>
      </c>
      <c r="J78" s="96">
        <v>540</v>
      </c>
      <c r="K78" s="96">
        <v>140</v>
      </c>
      <c r="L78" s="97">
        <v>0</v>
      </c>
      <c r="M78" s="97">
        <v>540</v>
      </c>
      <c r="N78" s="96">
        <v>148</v>
      </c>
      <c r="O78" s="97">
        <v>0</v>
      </c>
      <c r="P78" s="97">
        <v>371</v>
      </c>
      <c r="Q78" s="96">
        <v>79</v>
      </c>
      <c r="R78" s="97">
        <v>0</v>
      </c>
      <c r="S78" s="96">
        <v>160</v>
      </c>
      <c r="T78" s="96">
        <v>60</v>
      </c>
      <c r="U78" s="97">
        <v>0</v>
      </c>
      <c r="V78" s="96">
        <v>580</v>
      </c>
      <c r="W78" s="96">
        <v>420</v>
      </c>
      <c r="X78" s="97">
        <v>0</v>
      </c>
      <c r="Y78" s="95">
        <v>170</v>
      </c>
      <c r="Z78" s="96">
        <v>50</v>
      </c>
      <c r="AA78" s="97">
        <v>0</v>
      </c>
      <c r="AB78" s="95">
        <v>220</v>
      </c>
      <c r="AC78" s="96">
        <v>0</v>
      </c>
      <c r="AD78" s="97">
        <v>29</v>
      </c>
      <c r="AE78" s="95">
        <v>380</v>
      </c>
      <c r="AF78" s="96">
        <v>80</v>
      </c>
      <c r="AG78" s="105">
        <v>0</v>
      </c>
      <c r="AH78" s="231">
        <f>+Janvier!AJ78</f>
        <v>304.98626373626377</v>
      </c>
      <c r="AI78" s="231">
        <f>+Janvier!AK78</f>
        <v>948.84615384615404</v>
      </c>
      <c r="AJ78" s="231">
        <f>+Janvier!AL78</f>
        <v>711.63461538461547</v>
      </c>
      <c r="AK78" s="231">
        <f>+Janvier!AM78</f>
        <v>711.63461538461547</v>
      </c>
      <c r="AL78" s="231">
        <f>+Janvier!AN78</f>
        <v>431.29370629370635</v>
      </c>
      <c r="AM78" s="231">
        <f>+Janvier!AO78</f>
        <v>266.86298076923077</v>
      </c>
      <c r="AN78" s="231">
        <f>+Janvier!AP78</f>
        <v>533.72596153846155</v>
      </c>
      <c r="AO78" s="231">
        <f>+Janvier!AQ78</f>
        <v>266.86298076923077</v>
      </c>
      <c r="AP78" s="231">
        <f>+Janvier!AR78</f>
        <v>266.86298076923077</v>
      </c>
      <c r="AQ78" s="231">
        <f>+Janvier!AS78</f>
        <v>474.42307692307702</v>
      </c>
      <c r="AR78" s="16">
        <f t="shared" si="116"/>
        <v>0</v>
      </c>
      <c r="AS78" s="16">
        <f t="shared" si="117"/>
        <v>1</v>
      </c>
      <c r="AT78" s="16">
        <f t="shared" si="118"/>
        <v>1</v>
      </c>
      <c r="AU78" s="16">
        <f t="shared" si="119"/>
        <v>1</v>
      </c>
      <c r="AV78" s="16">
        <f t="shared" si="120"/>
        <v>1</v>
      </c>
      <c r="AW78" s="16">
        <f t="shared" si="121"/>
        <v>1</v>
      </c>
      <c r="AX78" s="16">
        <f t="shared" si="122"/>
        <v>4</v>
      </c>
      <c r="AY78" s="16">
        <f t="shared" si="123"/>
        <v>1</v>
      </c>
      <c r="AZ78" s="16">
        <f t="shared" si="124"/>
        <v>0</v>
      </c>
      <c r="BA78" s="17">
        <f t="shared" si="125"/>
        <v>1</v>
      </c>
    </row>
    <row r="79" spans="1:53" ht="16.2" thickBot="1" x14ac:dyDescent="0.35">
      <c r="A79" s="203" t="s">
        <v>73</v>
      </c>
      <c r="B79" s="181">
        <v>43862</v>
      </c>
      <c r="C79" s="94">
        <v>43890</v>
      </c>
      <c r="D79" s="107">
        <v>3100</v>
      </c>
      <c r="E79" s="96">
        <v>0</v>
      </c>
      <c r="F79" s="97">
        <v>0</v>
      </c>
      <c r="G79" s="95">
        <v>5940</v>
      </c>
      <c r="H79" s="96">
        <v>2080</v>
      </c>
      <c r="I79" s="97">
        <v>0</v>
      </c>
      <c r="J79" s="96">
        <v>5630</v>
      </c>
      <c r="K79" s="96">
        <v>390</v>
      </c>
      <c r="L79" s="97">
        <v>0</v>
      </c>
      <c r="M79" s="97">
        <v>5460</v>
      </c>
      <c r="N79" s="96">
        <v>556</v>
      </c>
      <c r="O79" s="97">
        <v>0</v>
      </c>
      <c r="P79" s="97">
        <v>3670</v>
      </c>
      <c r="Q79" s="96">
        <v>188</v>
      </c>
      <c r="R79" s="97">
        <v>0</v>
      </c>
      <c r="S79" s="96">
        <v>1200</v>
      </c>
      <c r="T79" s="96">
        <v>360</v>
      </c>
      <c r="U79" s="97">
        <v>0</v>
      </c>
      <c r="V79" s="96">
        <v>2960</v>
      </c>
      <c r="W79" s="96">
        <v>1820</v>
      </c>
      <c r="X79" s="97">
        <v>0</v>
      </c>
      <c r="Y79" s="95">
        <v>1730</v>
      </c>
      <c r="Z79" s="96">
        <v>660</v>
      </c>
      <c r="AA79" s="97">
        <v>0</v>
      </c>
      <c r="AB79" s="95">
        <v>1530</v>
      </c>
      <c r="AC79" s="96">
        <v>0</v>
      </c>
      <c r="AD79" s="97">
        <v>29</v>
      </c>
      <c r="AE79" s="95">
        <v>5000</v>
      </c>
      <c r="AF79" s="96">
        <v>1400</v>
      </c>
      <c r="AG79" s="105">
        <v>0</v>
      </c>
      <c r="AH79" s="231">
        <f>+Janvier!AJ79</f>
        <v>2652.2802197802202</v>
      </c>
      <c r="AI79" s="231">
        <f>+Janvier!AK79</f>
        <v>8251.5384615384628</v>
      </c>
      <c r="AJ79" s="231">
        <f>+Janvier!AL79</f>
        <v>6188.6538461538466</v>
      </c>
      <c r="AK79" s="231">
        <f>+Janvier!AM79</f>
        <v>6188.6538461538466</v>
      </c>
      <c r="AL79" s="231">
        <f>+Janvier!AN79</f>
        <v>3750.6993006993016</v>
      </c>
      <c r="AM79" s="231">
        <f>+Janvier!AO79</f>
        <v>2320.7451923076924</v>
      </c>
      <c r="AN79" s="231">
        <f>+Janvier!AP79</f>
        <v>4641.4903846153848</v>
      </c>
      <c r="AO79" s="231">
        <f>+Janvier!AQ79</f>
        <v>2320.7451923076924</v>
      </c>
      <c r="AP79" s="231">
        <f>+Janvier!AR79</f>
        <v>2320.7451923076924</v>
      </c>
      <c r="AQ79" s="231">
        <f>+Janvier!AS79</f>
        <v>4125.7692307692314</v>
      </c>
      <c r="AR79" s="32">
        <f t="shared" si="116"/>
        <v>0</v>
      </c>
      <c r="AS79" s="32">
        <f t="shared" si="117"/>
        <v>1</v>
      </c>
      <c r="AT79" s="32">
        <f t="shared" si="118"/>
        <v>0</v>
      </c>
      <c r="AU79" s="32">
        <f t="shared" si="119"/>
        <v>0</v>
      </c>
      <c r="AV79" s="32">
        <f t="shared" si="120"/>
        <v>0</v>
      </c>
      <c r="AW79" s="32">
        <f t="shared" si="121"/>
        <v>1</v>
      </c>
      <c r="AX79" s="32">
        <f t="shared" si="122"/>
        <v>2</v>
      </c>
      <c r="AY79" s="32">
        <f t="shared" si="123"/>
        <v>1</v>
      </c>
      <c r="AZ79" s="32">
        <f t="shared" si="124"/>
        <v>0</v>
      </c>
      <c r="BA79" s="33">
        <f t="shared" si="125"/>
        <v>2</v>
      </c>
    </row>
    <row r="80" spans="1:53" ht="16.2" thickBot="1" x14ac:dyDescent="0.35">
      <c r="A80" s="202" t="s">
        <v>90</v>
      </c>
      <c r="B80" s="160">
        <v>43862</v>
      </c>
      <c r="C80" s="164">
        <v>43890</v>
      </c>
      <c r="D80" s="98">
        <v>18000</v>
      </c>
      <c r="E80" s="98">
        <v>23000</v>
      </c>
      <c r="F80" s="98">
        <v>0</v>
      </c>
      <c r="G80" s="98">
        <v>0</v>
      </c>
      <c r="H80" s="98">
        <v>23000</v>
      </c>
      <c r="I80" s="98">
        <v>0</v>
      </c>
      <c r="J80" s="98">
        <v>0</v>
      </c>
      <c r="K80" s="98">
        <v>19600</v>
      </c>
      <c r="L80" s="98">
        <v>0</v>
      </c>
      <c r="M80" s="98">
        <v>0</v>
      </c>
      <c r="N80" s="98">
        <v>20000</v>
      </c>
      <c r="O80" s="98">
        <v>0</v>
      </c>
      <c r="P80" s="98">
        <v>0</v>
      </c>
      <c r="Q80" s="98">
        <v>11550</v>
      </c>
      <c r="R80" s="98">
        <v>0</v>
      </c>
      <c r="S80" s="98">
        <v>0</v>
      </c>
      <c r="T80" s="98">
        <v>6500</v>
      </c>
      <c r="U80" s="98">
        <v>0</v>
      </c>
      <c r="V80" s="98">
        <v>0</v>
      </c>
      <c r="W80" s="98">
        <v>25900</v>
      </c>
      <c r="X80" s="98">
        <v>0</v>
      </c>
      <c r="Y80" s="98">
        <v>0</v>
      </c>
      <c r="Z80" s="98">
        <v>6500</v>
      </c>
      <c r="AA80" s="98">
        <v>0</v>
      </c>
      <c r="AB80" s="98">
        <v>17800</v>
      </c>
      <c r="AC80" s="98">
        <v>8800</v>
      </c>
      <c r="AD80" s="98">
        <v>0</v>
      </c>
      <c r="AE80" s="98">
        <v>0</v>
      </c>
      <c r="AF80" s="98">
        <v>19500</v>
      </c>
      <c r="AG80" s="228">
        <v>0</v>
      </c>
      <c r="AH80" s="231">
        <f>+Janvier!AJ80</f>
        <v>17212.634999999998</v>
      </c>
      <c r="AI80" s="231">
        <f>+Janvier!AK80</f>
        <v>59198.798076923078</v>
      </c>
      <c r="AJ80" s="231">
        <f>+Janvier!AL80</f>
        <v>39426.39951923077</v>
      </c>
      <c r="AK80" s="231">
        <f>+Janvier!AM80</f>
        <v>39426.39951923077</v>
      </c>
      <c r="AL80" s="231">
        <f>+Janvier!AN80</f>
        <v>24863.495192307691</v>
      </c>
      <c r="AM80" s="231">
        <f>+Janvier!AO80</f>
        <v>14799.69951923077</v>
      </c>
      <c r="AN80" s="231">
        <f>+Janvier!AP80</f>
        <v>29599.399038461539</v>
      </c>
      <c r="AO80" s="231">
        <f>+Janvier!AQ80</f>
        <v>14799.69951923077</v>
      </c>
      <c r="AP80" s="231">
        <f>+Janvier!AR80</f>
        <v>14799.69951923077</v>
      </c>
      <c r="AQ80" s="231">
        <f>+Janvier!AS80</f>
        <v>26721.713076923079</v>
      </c>
      <c r="AR80" s="16">
        <f>ROUND(E80/(AH80/15),0)</f>
        <v>20</v>
      </c>
      <c r="AS80" s="16">
        <f t="shared" ref="AS80" si="126">ROUND(H80/(AI80/15),0)</f>
        <v>6</v>
      </c>
      <c r="AT80" s="16">
        <f t="shared" ref="AT80" si="127">ROUND(K80/(AJ80/15),0)</f>
        <v>7</v>
      </c>
      <c r="AU80" s="16">
        <f t="shared" ref="AU80" si="128">ROUND(N80/(AK80/15),0)</f>
        <v>8</v>
      </c>
      <c r="AV80" s="16">
        <f t="shared" ref="AV80" si="129">ROUND(Q80/(AL80/15),0)</f>
        <v>7</v>
      </c>
      <c r="AW80" s="16">
        <f t="shared" ref="AW80" si="130">ROUND(T80/(AM80/15),0)</f>
        <v>7</v>
      </c>
      <c r="AX80" s="16">
        <f t="shared" ref="AX80" si="131">ROUND(W80/(AN80/15),0)</f>
        <v>13</v>
      </c>
      <c r="AY80" s="16">
        <f t="shared" ref="AY80" si="132">ROUND(Z80/(AO80/15),0)</f>
        <v>7</v>
      </c>
      <c r="AZ80" s="16">
        <f t="shared" ref="AZ80" si="133">ROUND(AC80/(AP80/15),0)</f>
        <v>9</v>
      </c>
      <c r="BA80" s="17">
        <f t="shared" ref="BA80" si="134">ROUND(AF80/(AQ80/15),0)</f>
        <v>11</v>
      </c>
    </row>
    <row r="81" spans="1:53" ht="16.2" thickBot="1" x14ac:dyDescent="0.35">
      <c r="A81" s="199" t="s">
        <v>74</v>
      </c>
      <c r="B81" s="160">
        <v>43862</v>
      </c>
      <c r="C81" s="164">
        <v>43890</v>
      </c>
      <c r="D81" s="106">
        <v>2000</v>
      </c>
      <c r="E81" s="106">
        <v>1660</v>
      </c>
      <c r="F81" s="106">
        <v>0</v>
      </c>
      <c r="G81" s="106">
        <v>4000</v>
      </c>
      <c r="H81" s="96">
        <v>460</v>
      </c>
      <c r="I81" s="96">
        <v>0</v>
      </c>
      <c r="J81" s="96">
        <v>3000</v>
      </c>
      <c r="K81" s="96">
        <v>400</v>
      </c>
      <c r="L81" s="96">
        <v>0</v>
      </c>
      <c r="M81" s="96">
        <v>3000</v>
      </c>
      <c r="N81" s="96">
        <v>568</v>
      </c>
      <c r="O81" s="96">
        <v>0</v>
      </c>
      <c r="P81" s="96">
        <v>2000</v>
      </c>
      <c r="Q81" s="96">
        <v>261</v>
      </c>
      <c r="R81" s="96">
        <v>0</v>
      </c>
      <c r="S81" s="96">
        <v>1000</v>
      </c>
      <c r="T81" s="96">
        <v>730</v>
      </c>
      <c r="U81" s="96">
        <v>0</v>
      </c>
      <c r="V81" s="96">
        <v>1000</v>
      </c>
      <c r="W81" s="96">
        <v>1440</v>
      </c>
      <c r="X81" s="96">
        <v>0</v>
      </c>
      <c r="Y81" s="96">
        <v>1500</v>
      </c>
      <c r="Z81" s="96">
        <v>1480</v>
      </c>
      <c r="AA81" s="96">
        <v>0</v>
      </c>
      <c r="AB81" s="96">
        <v>2000</v>
      </c>
      <c r="AC81" s="96">
        <v>680</v>
      </c>
      <c r="AD81" s="96">
        <v>0</v>
      </c>
      <c r="AE81" s="96">
        <v>1500</v>
      </c>
      <c r="AF81" s="96">
        <v>1300</v>
      </c>
      <c r="AG81" s="105">
        <v>0</v>
      </c>
      <c r="AH81" s="231">
        <f>+Janvier!AJ81</f>
        <v>1153.1868131868132</v>
      </c>
      <c r="AI81" s="231">
        <f>+Janvier!AK81</f>
        <v>3587.6923076923085</v>
      </c>
      <c r="AJ81" s="231">
        <f>+Janvier!AL81</f>
        <v>2690.7692307692309</v>
      </c>
      <c r="AK81" s="231">
        <f>+Janvier!AM81</f>
        <v>2690.7692307692309</v>
      </c>
      <c r="AL81" s="231">
        <f>+Janvier!AN81</f>
        <v>1630.7692307692312</v>
      </c>
      <c r="AM81" s="231">
        <f>+Janvier!AO81</f>
        <v>1009.0384615384617</v>
      </c>
      <c r="AN81" s="231">
        <f>+Janvier!AP81</f>
        <v>2018.0769230769233</v>
      </c>
      <c r="AO81" s="231">
        <f>+Janvier!AQ81</f>
        <v>1009.0384615384617</v>
      </c>
      <c r="AP81" s="231">
        <f>+Janvier!AR81</f>
        <v>1009.0384615384617</v>
      </c>
      <c r="AQ81" s="231">
        <f>+Janvier!AS81</f>
        <v>1793.8461538461543</v>
      </c>
      <c r="AR81" s="16">
        <f>ROUND(E81/(AH81/5),0)</f>
        <v>7</v>
      </c>
      <c r="AS81" s="16">
        <f t="shared" ref="AS81:AS85" si="135">ROUND(H81/(AI81/5),0)</f>
        <v>1</v>
      </c>
      <c r="AT81" s="16">
        <f t="shared" ref="AT81:AT85" si="136">ROUND(K81/(AJ81/5),0)</f>
        <v>1</v>
      </c>
      <c r="AU81" s="16">
        <f t="shared" ref="AU81:AU85" si="137">ROUND(N81/(AK81/5),0)</f>
        <v>1</v>
      </c>
      <c r="AV81" s="16">
        <f t="shared" ref="AV81:AV85" si="138">ROUND(Q81/(AL81/5),0)</f>
        <v>1</v>
      </c>
      <c r="AW81" s="16">
        <f t="shared" ref="AW81:AW85" si="139">ROUND(T81/(AM81/5),0)</f>
        <v>4</v>
      </c>
      <c r="AX81" s="16">
        <f t="shared" ref="AX81:AX85" si="140">ROUND(W81/(AN81/5),0)</f>
        <v>4</v>
      </c>
      <c r="AY81" s="16">
        <f t="shared" ref="AY81:AY85" si="141">ROUND(Z81/(AO81/5),0)</f>
        <v>7</v>
      </c>
      <c r="AZ81" s="16">
        <f t="shared" ref="AZ81:AZ85" si="142">ROUND(AC81/(AP81/5),0)</f>
        <v>3</v>
      </c>
      <c r="BA81" s="17">
        <f t="shared" ref="BA81:BA85" si="143">ROUND(AF81/(AQ81/5),0)</f>
        <v>4</v>
      </c>
    </row>
    <row r="82" spans="1:53" ht="16.2" thickBot="1" x14ac:dyDescent="0.35">
      <c r="A82" s="199" t="s">
        <v>75</v>
      </c>
      <c r="B82" s="160">
        <v>43862</v>
      </c>
      <c r="C82" s="164">
        <v>43890</v>
      </c>
      <c r="D82" s="96">
        <v>2000</v>
      </c>
      <c r="E82" s="96">
        <v>2080</v>
      </c>
      <c r="F82" s="96">
        <v>0</v>
      </c>
      <c r="G82" s="96">
        <v>5000</v>
      </c>
      <c r="H82" s="96">
        <v>880</v>
      </c>
      <c r="I82" s="96">
        <v>0</v>
      </c>
      <c r="J82" s="96">
        <v>3000</v>
      </c>
      <c r="K82" s="96">
        <v>120</v>
      </c>
      <c r="L82" s="96">
        <v>0</v>
      </c>
      <c r="M82" s="96">
        <v>2800</v>
      </c>
      <c r="N82" s="96">
        <v>20</v>
      </c>
      <c r="O82" s="96">
        <v>0</v>
      </c>
      <c r="P82" s="96">
        <v>2300</v>
      </c>
      <c r="Q82" s="96">
        <v>7</v>
      </c>
      <c r="R82" s="96">
        <v>0</v>
      </c>
      <c r="S82" s="96">
        <v>1000</v>
      </c>
      <c r="T82" s="96">
        <v>390</v>
      </c>
      <c r="U82" s="96">
        <v>0</v>
      </c>
      <c r="V82" s="96">
        <v>1500</v>
      </c>
      <c r="W82" s="96">
        <v>1290</v>
      </c>
      <c r="X82" s="96">
        <v>0</v>
      </c>
      <c r="Y82" s="96">
        <v>1000</v>
      </c>
      <c r="Z82" s="96">
        <v>690</v>
      </c>
      <c r="AA82" s="96">
        <v>0</v>
      </c>
      <c r="AB82" s="96">
        <v>2000</v>
      </c>
      <c r="AC82" s="96">
        <v>590</v>
      </c>
      <c r="AD82" s="96">
        <v>0</v>
      </c>
      <c r="AE82" s="96">
        <v>1000</v>
      </c>
      <c r="AF82" s="96">
        <v>1080</v>
      </c>
      <c r="AG82" s="105">
        <v>0</v>
      </c>
      <c r="AH82" s="231">
        <f>+Janvier!AJ82</f>
        <v>1355.5631868131868</v>
      </c>
      <c r="AI82" s="231">
        <f>+Janvier!AK82</f>
        <v>4217.3076923076924</v>
      </c>
      <c r="AJ82" s="231">
        <f>+Janvier!AL82</f>
        <v>3162.9807692307691</v>
      </c>
      <c r="AK82" s="231">
        <f>+Janvier!AM82</f>
        <v>3162.9807692307691</v>
      </c>
      <c r="AL82" s="231">
        <f>+Janvier!AN82</f>
        <v>1916.9580419580418</v>
      </c>
      <c r="AM82" s="231">
        <f>+Janvier!AO82</f>
        <v>1186.1177884615383</v>
      </c>
      <c r="AN82" s="231">
        <f>+Janvier!AP82</f>
        <v>2372.2355769230767</v>
      </c>
      <c r="AO82" s="231">
        <f>+Janvier!AQ82</f>
        <v>1186.1177884615383</v>
      </c>
      <c r="AP82" s="231">
        <f>+Janvier!AR82</f>
        <v>1186.1177884615383</v>
      </c>
      <c r="AQ82" s="231">
        <f>+Janvier!AS82</f>
        <v>2108.6538461538462</v>
      </c>
      <c r="AR82" s="16">
        <f>ROUND(E82/(AH82/5),0)</f>
        <v>8</v>
      </c>
      <c r="AS82" s="16">
        <f t="shared" si="135"/>
        <v>1</v>
      </c>
      <c r="AT82" s="16">
        <f t="shared" si="136"/>
        <v>0</v>
      </c>
      <c r="AU82" s="16">
        <f t="shared" si="137"/>
        <v>0</v>
      </c>
      <c r="AV82" s="16">
        <f t="shared" si="138"/>
        <v>0</v>
      </c>
      <c r="AW82" s="16">
        <f t="shared" si="139"/>
        <v>2</v>
      </c>
      <c r="AX82" s="16">
        <f t="shared" si="140"/>
        <v>3</v>
      </c>
      <c r="AY82" s="16">
        <f t="shared" si="141"/>
        <v>3</v>
      </c>
      <c r="AZ82" s="16">
        <f t="shared" si="142"/>
        <v>2</v>
      </c>
      <c r="BA82" s="17">
        <f t="shared" si="143"/>
        <v>3</v>
      </c>
    </row>
    <row r="83" spans="1:53" ht="16.2" thickBot="1" x14ac:dyDescent="0.35">
      <c r="A83" s="199" t="s">
        <v>76</v>
      </c>
      <c r="B83" s="160">
        <v>43862</v>
      </c>
      <c r="C83" s="164">
        <v>43890</v>
      </c>
      <c r="D83" s="96">
        <v>1500</v>
      </c>
      <c r="E83" s="96">
        <v>380</v>
      </c>
      <c r="F83" s="96">
        <v>0</v>
      </c>
      <c r="G83" s="96">
        <v>3400</v>
      </c>
      <c r="H83" s="96">
        <v>1380</v>
      </c>
      <c r="I83" s="96">
        <v>0</v>
      </c>
      <c r="J83" s="96">
        <v>2500</v>
      </c>
      <c r="K83" s="96">
        <v>450</v>
      </c>
      <c r="L83" s="96">
        <v>0</v>
      </c>
      <c r="M83" s="96">
        <v>2800</v>
      </c>
      <c r="N83" s="96">
        <v>700</v>
      </c>
      <c r="O83" s="96">
        <v>0</v>
      </c>
      <c r="P83" s="96">
        <v>1500</v>
      </c>
      <c r="Q83" s="96">
        <v>550</v>
      </c>
      <c r="R83" s="96">
        <v>0</v>
      </c>
      <c r="S83" s="96">
        <v>600</v>
      </c>
      <c r="T83" s="96">
        <v>510</v>
      </c>
      <c r="U83" s="96">
        <v>0</v>
      </c>
      <c r="V83" s="96">
        <v>1200</v>
      </c>
      <c r="W83" s="96">
        <v>1240</v>
      </c>
      <c r="X83" s="96">
        <v>0</v>
      </c>
      <c r="Y83" s="96">
        <v>1500</v>
      </c>
      <c r="Z83" s="96">
        <v>620</v>
      </c>
      <c r="AA83" s="96">
        <v>0</v>
      </c>
      <c r="AB83" s="96">
        <v>2000</v>
      </c>
      <c r="AC83" s="96">
        <v>990</v>
      </c>
      <c r="AD83" s="96">
        <v>0</v>
      </c>
      <c r="AE83" s="96">
        <v>1000</v>
      </c>
      <c r="AF83" s="96">
        <v>1150</v>
      </c>
      <c r="AG83" s="105">
        <v>0</v>
      </c>
      <c r="AH83" s="231">
        <f>+Janvier!AJ83</f>
        <v>895.92032967032981</v>
      </c>
      <c r="AI83" s="231">
        <f>+Janvier!AK83</f>
        <v>2787.3076923076928</v>
      </c>
      <c r="AJ83" s="231">
        <f>+Janvier!AL83</f>
        <v>2090.4807692307695</v>
      </c>
      <c r="AK83" s="231">
        <f>+Janvier!AM83</f>
        <v>2090.4807692307695</v>
      </c>
      <c r="AL83" s="231">
        <f>+Janvier!AN83</f>
        <v>1266.958041958042</v>
      </c>
      <c r="AM83" s="231">
        <f>+Janvier!AO83</f>
        <v>783.93028846153834</v>
      </c>
      <c r="AN83" s="231">
        <f>+Janvier!AP83</f>
        <v>1567.8605769230767</v>
      </c>
      <c r="AO83" s="231">
        <f>+Janvier!AQ83</f>
        <v>783.93028846153834</v>
      </c>
      <c r="AP83" s="231">
        <f>+Janvier!AR83</f>
        <v>783.93028846153834</v>
      </c>
      <c r="AQ83" s="231">
        <f>+Janvier!AS83</f>
        <v>1393.6538461538464</v>
      </c>
      <c r="AR83" s="16">
        <f>ROUND(E83/(AH83/5),0)</f>
        <v>2</v>
      </c>
      <c r="AS83" s="16">
        <f t="shared" si="135"/>
        <v>2</v>
      </c>
      <c r="AT83" s="16">
        <f t="shared" si="136"/>
        <v>1</v>
      </c>
      <c r="AU83" s="16">
        <f t="shared" si="137"/>
        <v>2</v>
      </c>
      <c r="AV83" s="16">
        <f t="shared" si="138"/>
        <v>2</v>
      </c>
      <c r="AW83" s="16">
        <f t="shared" si="139"/>
        <v>3</v>
      </c>
      <c r="AX83" s="16">
        <f t="shared" si="140"/>
        <v>4</v>
      </c>
      <c r="AY83" s="16">
        <f t="shared" si="141"/>
        <v>4</v>
      </c>
      <c r="AZ83" s="16">
        <f t="shared" si="142"/>
        <v>6</v>
      </c>
      <c r="BA83" s="17">
        <f t="shared" si="143"/>
        <v>4</v>
      </c>
    </row>
    <row r="84" spans="1:53" ht="16.2" thickBot="1" x14ac:dyDescent="0.35">
      <c r="A84" s="199" t="s">
        <v>77</v>
      </c>
      <c r="B84" s="160">
        <v>43862</v>
      </c>
      <c r="C84" s="164">
        <v>43890</v>
      </c>
      <c r="D84" s="96">
        <v>2000</v>
      </c>
      <c r="E84" s="96">
        <v>1300</v>
      </c>
      <c r="F84" s="96">
        <v>0</v>
      </c>
      <c r="G84" s="96">
        <v>6000</v>
      </c>
      <c r="H84" s="96">
        <v>1160</v>
      </c>
      <c r="I84" s="96">
        <v>0</v>
      </c>
      <c r="J84" s="96">
        <v>3800</v>
      </c>
      <c r="K84" s="96">
        <v>1110</v>
      </c>
      <c r="L84" s="96">
        <v>0</v>
      </c>
      <c r="M84" s="96">
        <v>3800</v>
      </c>
      <c r="N84" s="96">
        <v>400</v>
      </c>
      <c r="O84" s="96">
        <v>0</v>
      </c>
      <c r="P84" s="96">
        <v>2700</v>
      </c>
      <c r="Q84" s="96">
        <v>134</v>
      </c>
      <c r="R84" s="96">
        <v>0</v>
      </c>
      <c r="S84" s="96">
        <v>1000</v>
      </c>
      <c r="T84" s="96">
        <v>1070</v>
      </c>
      <c r="U84" s="96">
        <v>0</v>
      </c>
      <c r="V84" s="96">
        <v>1500</v>
      </c>
      <c r="W84" s="96">
        <v>1920</v>
      </c>
      <c r="X84" s="96">
        <v>0</v>
      </c>
      <c r="Y84" s="96">
        <v>800</v>
      </c>
      <c r="Z84" s="96">
        <v>650</v>
      </c>
      <c r="AA84" s="96">
        <v>0</v>
      </c>
      <c r="AB84" s="96">
        <v>2000</v>
      </c>
      <c r="AC84" s="96">
        <v>710</v>
      </c>
      <c r="AD84" s="96">
        <v>0</v>
      </c>
      <c r="AE84" s="96">
        <v>1500</v>
      </c>
      <c r="AF84" s="96">
        <v>2230</v>
      </c>
      <c r="AG84" s="105">
        <v>0</v>
      </c>
      <c r="AH84" s="231">
        <f>+Janvier!AJ84</f>
        <v>1507.1291208791208</v>
      </c>
      <c r="AI84" s="231">
        <f>+Janvier!AK84</f>
        <v>4688.8461538461534</v>
      </c>
      <c r="AJ84" s="231">
        <f>+Janvier!AL84</f>
        <v>3516.6346153846152</v>
      </c>
      <c r="AK84" s="231">
        <f>+Janvier!AM84</f>
        <v>3516.6346153846152</v>
      </c>
      <c r="AL84" s="231">
        <f>+Janvier!AN84</f>
        <v>2131.2937062937062</v>
      </c>
      <c r="AM84" s="231">
        <f>+Janvier!AO84</f>
        <v>1318.7379807692307</v>
      </c>
      <c r="AN84" s="231">
        <f>+Janvier!AP84</f>
        <v>2637.4759615384614</v>
      </c>
      <c r="AO84" s="231">
        <f>+Janvier!AQ84</f>
        <v>1318.7379807692307</v>
      </c>
      <c r="AP84" s="231">
        <f>+Janvier!AR84</f>
        <v>1318.7379807692307</v>
      </c>
      <c r="AQ84" s="231">
        <f>+Janvier!AS84</f>
        <v>2344.4230769230767</v>
      </c>
      <c r="AR84" s="16">
        <f>ROUND(E84/(AH84/5),0)</f>
        <v>4</v>
      </c>
      <c r="AS84" s="16">
        <f t="shared" si="135"/>
        <v>1</v>
      </c>
      <c r="AT84" s="16">
        <f t="shared" si="136"/>
        <v>2</v>
      </c>
      <c r="AU84" s="16">
        <f t="shared" si="137"/>
        <v>1</v>
      </c>
      <c r="AV84" s="16">
        <f t="shared" si="138"/>
        <v>0</v>
      </c>
      <c r="AW84" s="16">
        <f t="shared" si="139"/>
        <v>4</v>
      </c>
      <c r="AX84" s="16">
        <f t="shared" si="140"/>
        <v>4</v>
      </c>
      <c r="AY84" s="16">
        <f t="shared" si="141"/>
        <v>2</v>
      </c>
      <c r="AZ84" s="16">
        <f t="shared" si="142"/>
        <v>3</v>
      </c>
      <c r="BA84" s="17">
        <f t="shared" si="143"/>
        <v>5</v>
      </c>
    </row>
    <row r="85" spans="1:53" ht="15" thickBot="1" x14ac:dyDescent="0.35">
      <c r="A85" s="25" t="s">
        <v>78</v>
      </c>
      <c r="B85" s="160">
        <v>43862</v>
      </c>
      <c r="C85" s="164">
        <v>43890</v>
      </c>
      <c r="D85" s="96">
        <v>0</v>
      </c>
      <c r="E85" s="96">
        <v>640</v>
      </c>
      <c r="F85" s="96">
        <v>0</v>
      </c>
      <c r="G85" s="96">
        <v>2320</v>
      </c>
      <c r="H85" s="96">
        <v>680</v>
      </c>
      <c r="I85" s="96">
        <v>0</v>
      </c>
      <c r="J85" s="96">
        <v>2100</v>
      </c>
      <c r="K85" s="96">
        <v>450</v>
      </c>
      <c r="L85" s="96">
        <v>0</v>
      </c>
      <c r="M85" s="96">
        <v>2000</v>
      </c>
      <c r="N85" s="96">
        <v>372</v>
      </c>
      <c r="O85" s="96">
        <v>0</v>
      </c>
      <c r="P85" s="96">
        <v>1000</v>
      </c>
      <c r="Q85" s="96">
        <v>42</v>
      </c>
      <c r="R85" s="96">
        <v>0</v>
      </c>
      <c r="S85" s="96">
        <v>700</v>
      </c>
      <c r="T85" s="96">
        <v>370</v>
      </c>
      <c r="U85" s="96">
        <v>0</v>
      </c>
      <c r="V85" s="96">
        <v>0</v>
      </c>
      <c r="W85" s="96">
        <v>2000</v>
      </c>
      <c r="X85" s="96">
        <v>0</v>
      </c>
      <c r="Y85" s="96">
        <v>1000</v>
      </c>
      <c r="Z85" s="96">
        <v>870</v>
      </c>
      <c r="AA85" s="96">
        <v>0</v>
      </c>
      <c r="AB85" s="96">
        <v>1000</v>
      </c>
      <c r="AC85" s="96">
        <v>340</v>
      </c>
      <c r="AD85" s="96">
        <v>0</v>
      </c>
      <c r="AE85" s="96">
        <v>800</v>
      </c>
      <c r="AF85" s="96">
        <v>1200</v>
      </c>
      <c r="AG85" s="105">
        <v>0</v>
      </c>
      <c r="AH85" s="231">
        <f>+Janvier!AJ85</f>
        <v>726.18131868131866</v>
      </c>
      <c r="AI85" s="231">
        <f>+Janvier!AK85</f>
        <v>2259.2307692307695</v>
      </c>
      <c r="AJ85" s="231">
        <f>+Janvier!AL85</f>
        <v>1694.4230769230774</v>
      </c>
      <c r="AK85" s="231">
        <f>+Janvier!AM85</f>
        <v>1694.4230769230774</v>
      </c>
      <c r="AL85" s="231">
        <f>+Janvier!AN85</f>
        <v>1026.9230769230771</v>
      </c>
      <c r="AM85" s="231">
        <f>+Janvier!AO85</f>
        <v>635.40865384615381</v>
      </c>
      <c r="AN85" s="231">
        <f>+Janvier!AP85</f>
        <v>1270.8173076923076</v>
      </c>
      <c r="AO85" s="231">
        <f>+Janvier!AQ85</f>
        <v>635.40865384615381</v>
      </c>
      <c r="AP85" s="231">
        <f>+Janvier!AR85</f>
        <v>635.40865384615381</v>
      </c>
      <c r="AQ85" s="231">
        <f>+Janvier!AS85</f>
        <v>1129.6153846153848</v>
      </c>
      <c r="AR85" s="16">
        <f>ROUND(E85/(AH85/5),0)</f>
        <v>4</v>
      </c>
      <c r="AS85" s="16">
        <f t="shared" si="135"/>
        <v>2</v>
      </c>
      <c r="AT85" s="16">
        <f t="shared" si="136"/>
        <v>1</v>
      </c>
      <c r="AU85" s="16">
        <f t="shared" si="137"/>
        <v>1</v>
      </c>
      <c r="AV85" s="16">
        <f t="shared" si="138"/>
        <v>0</v>
      </c>
      <c r="AW85" s="16">
        <f t="shared" si="139"/>
        <v>3</v>
      </c>
      <c r="AX85" s="16">
        <f t="shared" si="140"/>
        <v>8</v>
      </c>
      <c r="AY85" s="16">
        <f t="shared" si="141"/>
        <v>7</v>
      </c>
      <c r="AZ85" s="16">
        <f t="shared" si="142"/>
        <v>3</v>
      </c>
      <c r="BA85" s="17">
        <f t="shared" si="143"/>
        <v>5</v>
      </c>
    </row>
    <row r="86" spans="1:53" x14ac:dyDescent="0.3">
      <c r="B86" s="2"/>
      <c r="C86" s="3"/>
      <c r="D86" s="3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R86" s="24" t="s">
        <v>2</v>
      </c>
      <c r="AS86" s="24" t="s">
        <v>80</v>
      </c>
      <c r="AT86" s="24" t="s">
        <v>81</v>
      </c>
      <c r="AU86" s="24" t="s">
        <v>5</v>
      </c>
      <c r="AV86" s="24" t="s">
        <v>82</v>
      </c>
      <c r="AW86" s="24" t="s">
        <v>7</v>
      </c>
      <c r="AX86" s="24" t="s">
        <v>8</v>
      </c>
      <c r="AY86" s="24" t="s">
        <v>9</v>
      </c>
      <c r="AZ86" s="24" t="s">
        <v>10</v>
      </c>
      <c r="BA86" s="24" t="s">
        <v>11</v>
      </c>
    </row>
    <row r="87" spans="1:53" x14ac:dyDescent="0.3">
      <c r="B87" s="2"/>
      <c r="C87" s="3"/>
      <c r="D87" s="3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</row>
  </sheetData>
  <mergeCells count="16">
    <mergeCell ref="D3:AF3"/>
    <mergeCell ref="AE4:AG4"/>
    <mergeCell ref="A1:AF1"/>
    <mergeCell ref="AH3:AQ3"/>
    <mergeCell ref="AR3:BA3"/>
    <mergeCell ref="A4:A5"/>
    <mergeCell ref="B4:C4"/>
    <mergeCell ref="D4:F4"/>
    <mergeCell ref="G4:I4"/>
    <mergeCell ref="J4:L4"/>
    <mergeCell ref="M4:O4"/>
    <mergeCell ref="P4:R4"/>
    <mergeCell ref="S4:U4"/>
    <mergeCell ref="V4:X4"/>
    <mergeCell ref="Y4:AA4"/>
    <mergeCell ref="AB4:AD4"/>
  </mergeCells>
  <conditionalFormatting sqref="AR6:BA6 AR14:BA14 AR21:BA21 AR30:BA30 AR40:BA40 AR54:BA54 AR68:BA68 AR80:BA80">
    <cfRule type="cellIs" dxfId="111" priority="5" operator="lessThanOrEqual">
      <formula>3</formula>
    </cfRule>
    <cfRule type="cellIs" dxfId="110" priority="6" operator="between">
      <formula>3.01</formula>
      <formula>5</formula>
    </cfRule>
    <cfRule type="cellIs" dxfId="109" priority="7" operator="between">
      <formula>5.01</formula>
      <formula>15</formula>
    </cfRule>
    <cfRule type="cellIs" dxfId="108" priority="8" operator="greaterThan">
      <formula>15</formula>
    </cfRule>
  </conditionalFormatting>
  <conditionalFormatting sqref="AR7:BA13 AR15:BA20 AR22:BA29 AR31:BA39 AR41:BA53 AR55:BA67 AR69:BA79 AR81:BA85">
    <cfRule type="cellIs" dxfId="107" priority="1" operator="lessThanOrEqual">
      <formula>1</formula>
    </cfRule>
    <cfRule type="cellIs" dxfId="106" priority="2" operator="between">
      <formula>1.01</formula>
      <formula>2</formula>
    </cfRule>
    <cfRule type="cellIs" dxfId="105" priority="3" operator="between">
      <formula>2.01</formula>
      <formula>5</formula>
    </cfRule>
    <cfRule type="cellIs" dxfId="104" priority="4" operator="greaterThan">
      <formula>5</formula>
    </cfRule>
  </conditionalFormatting>
  <dataValidations disablePrompts="1" count="1">
    <dataValidation type="decimal" allowBlank="1" showInputMessage="1" showErrorMessage="1" promptTitle="Coverage:" prompt="Indicate the targeted immunization coverage for the current year." sqref="AH5:AQ5" xr:uid="{00000000-0002-0000-0100-000000000000}">
      <formula1>0</formula1>
      <formula2>1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A87"/>
  <sheetViews>
    <sheetView zoomScale="92" zoomScaleNormal="92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I16" sqref="I16"/>
    </sheetView>
  </sheetViews>
  <sheetFormatPr defaultColWidth="11.5546875" defaultRowHeight="14.4" x14ac:dyDescent="0.3"/>
  <cols>
    <col min="1" max="1" width="19.5546875" style="183" bestFit="1" customWidth="1"/>
    <col min="2" max="2" width="13.5546875" style="183" customWidth="1"/>
    <col min="3" max="3" width="16.5546875" style="183" customWidth="1"/>
    <col min="4" max="4" width="11.109375" style="183" customWidth="1"/>
    <col min="5" max="5" width="12.33203125" style="183" customWidth="1"/>
    <col min="6" max="7" width="12.5546875" style="183" customWidth="1"/>
    <col min="8" max="8" width="14.109375" style="183" customWidth="1"/>
    <col min="9" max="9" width="12.5546875" style="183" customWidth="1"/>
    <col min="10" max="10" width="13.88671875" style="183" customWidth="1"/>
    <col min="11" max="11" width="16" style="183" customWidth="1"/>
    <col min="12" max="12" width="9.88671875" style="183" customWidth="1"/>
    <col min="13" max="13" width="11.6640625" style="183" customWidth="1"/>
    <col min="14" max="14" width="8.44140625" style="183" customWidth="1"/>
    <col min="15" max="15" width="11.88671875" style="183" customWidth="1"/>
    <col min="16" max="16" width="10.33203125" style="183" customWidth="1"/>
    <col min="17" max="17" width="8.44140625" style="183" customWidth="1"/>
    <col min="18" max="18" width="13.44140625" style="183" customWidth="1"/>
    <col min="19" max="19" width="10.44140625" style="183" customWidth="1"/>
    <col min="20" max="20" width="7.44140625" style="183" customWidth="1"/>
    <col min="21" max="21" width="13.44140625" style="183" customWidth="1"/>
    <col min="22" max="22" width="9.5546875" style="183" customWidth="1"/>
    <col min="23" max="23" width="8.44140625" style="183" customWidth="1"/>
    <col min="24" max="24" width="12.6640625" style="183" customWidth="1"/>
    <col min="25" max="25" width="9.5546875" style="183" customWidth="1"/>
    <col min="26" max="26" width="9.44140625" style="183" customWidth="1"/>
    <col min="27" max="27" width="10" style="183" customWidth="1"/>
    <col min="28" max="28" width="9.6640625" style="183" customWidth="1"/>
    <col min="29" max="29" width="10.6640625" style="183" customWidth="1"/>
    <col min="30" max="30" width="12.33203125" style="183" customWidth="1"/>
    <col min="31" max="31" width="10" style="183" customWidth="1"/>
    <col min="32" max="32" width="10.33203125" style="183" customWidth="1"/>
    <col min="33" max="33" width="14" style="183" customWidth="1"/>
    <col min="34" max="43" width="11.6640625" style="183" customWidth="1"/>
    <col min="44" max="53" width="15.109375" style="183" customWidth="1"/>
    <col min="54" max="16384" width="11.5546875" style="183"/>
  </cols>
  <sheetData>
    <row r="1" spans="1:53" ht="18" x14ac:dyDescent="0.35">
      <c r="A1" s="414" t="s">
        <v>0</v>
      </c>
      <c r="B1" s="414"/>
      <c r="C1" s="414"/>
      <c r="D1" s="414"/>
      <c r="E1" s="414"/>
      <c r="F1" s="414"/>
      <c r="G1" s="414"/>
      <c r="H1" s="414"/>
      <c r="I1" s="414"/>
      <c r="J1" s="414"/>
      <c r="K1" s="414"/>
      <c r="L1" s="414"/>
      <c r="M1" s="414"/>
      <c r="N1" s="414"/>
      <c r="O1" s="414"/>
      <c r="P1" s="414"/>
      <c r="Q1" s="414"/>
      <c r="R1" s="414"/>
      <c r="S1" s="414"/>
      <c r="T1" s="414"/>
      <c r="U1" s="414"/>
      <c r="V1" s="414"/>
      <c r="W1" s="414"/>
      <c r="X1" s="414"/>
      <c r="Y1" s="414"/>
      <c r="Z1" s="414"/>
      <c r="AA1" s="414"/>
      <c r="AB1" s="414"/>
      <c r="AC1" s="414"/>
      <c r="AD1" s="414"/>
      <c r="AE1" s="414"/>
      <c r="AF1" s="414"/>
      <c r="AG1" s="195"/>
    </row>
    <row r="2" spans="1:53" ht="18" x14ac:dyDescent="0.35">
      <c r="A2" s="195"/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5"/>
      <c r="Y2" s="195"/>
      <c r="Z2" s="195"/>
      <c r="AA2" s="195"/>
      <c r="AB2" s="195"/>
      <c r="AC2" s="195"/>
      <c r="AD2" s="195"/>
      <c r="AE2" s="195"/>
      <c r="AF2" s="9"/>
      <c r="AG2" s="9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0"/>
    </row>
    <row r="3" spans="1:53" ht="16.2" thickBot="1" x14ac:dyDescent="0.35">
      <c r="D3" s="413" t="s">
        <v>98</v>
      </c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  <c r="R3" s="413"/>
      <c r="S3" s="413"/>
      <c r="T3" s="413"/>
      <c r="U3" s="413"/>
      <c r="V3" s="413"/>
      <c r="W3" s="413"/>
      <c r="X3" s="413"/>
      <c r="Y3" s="413"/>
      <c r="Z3" s="413"/>
      <c r="AA3" s="413"/>
      <c r="AB3" s="413"/>
      <c r="AC3" s="413"/>
      <c r="AD3" s="413"/>
      <c r="AE3" s="413"/>
      <c r="AF3" s="413"/>
      <c r="AG3" s="196"/>
      <c r="AH3" s="449" t="s">
        <v>12</v>
      </c>
      <c r="AI3" s="449"/>
      <c r="AJ3" s="449"/>
      <c r="AK3" s="449"/>
      <c r="AL3" s="449"/>
      <c r="AM3" s="449"/>
      <c r="AN3" s="449"/>
      <c r="AO3" s="449"/>
      <c r="AP3" s="449"/>
      <c r="AQ3" s="449"/>
      <c r="AR3" s="417" t="s">
        <v>13</v>
      </c>
      <c r="AS3" s="417"/>
      <c r="AT3" s="417"/>
      <c r="AU3" s="417"/>
      <c r="AV3" s="417"/>
      <c r="AW3" s="417"/>
      <c r="AX3" s="417"/>
      <c r="AY3" s="417"/>
      <c r="AZ3" s="417"/>
      <c r="BA3" s="417"/>
    </row>
    <row r="4" spans="1:53" ht="16.2" thickBot="1" x14ac:dyDescent="0.35">
      <c r="A4" s="450" t="s">
        <v>1</v>
      </c>
      <c r="B4" s="452" t="s">
        <v>92</v>
      </c>
      <c r="C4" s="453"/>
      <c r="D4" s="420" t="s">
        <v>2</v>
      </c>
      <c r="E4" s="420"/>
      <c r="F4" s="421"/>
      <c r="G4" s="422" t="s">
        <v>3</v>
      </c>
      <c r="H4" s="423"/>
      <c r="I4" s="424"/>
      <c r="J4" s="425" t="s">
        <v>4</v>
      </c>
      <c r="K4" s="426"/>
      <c r="L4" s="427"/>
      <c r="M4" s="446" t="s">
        <v>5</v>
      </c>
      <c r="N4" s="447"/>
      <c r="O4" s="448"/>
      <c r="P4" s="428" t="s">
        <v>6</v>
      </c>
      <c r="Q4" s="429"/>
      <c r="R4" s="430"/>
      <c r="S4" s="431" t="s">
        <v>7</v>
      </c>
      <c r="T4" s="432"/>
      <c r="U4" s="433"/>
      <c r="V4" s="434" t="s">
        <v>8</v>
      </c>
      <c r="W4" s="435"/>
      <c r="X4" s="436"/>
      <c r="Y4" s="437" t="s">
        <v>9</v>
      </c>
      <c r="Z4" s="438"/>
      <c r="AA4" s="439"/>
      <c r="AB4" s="440" t="s">
        <v>10</v>
      </c>
      <c r="AC4" s="441"/>
      <c r="AD4" s="442"/>
      <c r="AE4" s="443" t="s">
        <v>11</v>
      </c>
      <c r="AF4" s="444"/>
      <c r="AG4" s="444"/>
      <c r="AH4" s="206" t="s">
        <v>2</v>
      </c>
      <c r="AI4" s="206" t="s">
        <v>3</v>
      </c>
      <c r="AJ4" s="206" t="s">
        <v>4</v>
      </c>
      <c r="AK4" s="206" t="s">
        <v>5</v>
      </c>
      <c r="AL4" s="206" t="s">
        <v>6</v>
      </c>
      <c r="AM4" s="206" t="s">
        <v>7</v>
      </c>
      <c r="AN4" s="206" t="s">
        <v>8</v>
      </c>
      <c r="AO4" s="206" t="s">
        <v>9</v>
      </c>
      <c r="AP4" s="206" t="s">
        <v>10</v>
      </c>
      <c r="AQ4" s="206" t="s">
        <v>11</v>
      </c>
      <c r="AR4" s="186" t="s">
        <v>2</v>
      </c>
      <c r="AS4" s="186" t="s">
        <v>3</v>
      </c>
      <c r="AT4" s="186" t="s">
        <v>4</v>
      </c>
      <c r="AU4" s="186" t="s">
        <v>5</v>
      </c>
      <c r="AV4" s="186" t="s">
        <v>6</v>
      </c>
      <c r="AW4" s="186" t="s">
        <v>7</v>
      </c>
      <c r="AX4" s="186" t="s">
        <v>8</v>
      </c>
      <c r="AY4" s="186" t="s">
        <v>9</v>
      </c>
      <c r="AZ4" s="186" t="s">
        <v>10</v>
      </c>
      <c r="BA4" s="197" t="s">
        <v>11</v>
      </c>
    </row>
    <row r="5" spans="1:53" ht="15.75" customHeight="1" thickBot="1" x14ac:dyDescent="0.35">
      <c r="A5" s="451"/>
      <c r="B5" s="135" t="s">
        <v>93</v>
      </c>
      <c r="C5" s="136" t="s">
        <v>94</v>
      </c>
      <c r="D5" s="187" t="s">
        <v>95</v>
      </c>
      <c r="E5" s="188" t="s">
        <v>96</v>
      </c>
      <c r="F5" s="189" t="s">
        <v>97</v>
      </c>
      <c r="G5" s="190" t="s">
        <v>95</v>
      </c>
      <c r="H5" s="188" t="s">
        <v>96</v>
      </c>
      <c r="I5" s="191" t="s">
        <v>97</v>
      </c>
      <c r="J5" s="137" t="s">
        <v>95</v>
      </c>
      <c r="K5" s="138" t="s">
        <v>96</v>
      </c>
      <c r="L5" s="139" t="s">
        <v>97</v>
      </c>
      <c r="M5" s="187" t="s">
        <v>95</v>
      </c>
      <c r="N5" s="188" t="s">
        <v>96</v>
      </c>
      <c r="O5" s="189" t="s">
        <v>97</v>
      </c>
      <c r="P5" s="190" t="s">
        <v>95</v>
      </c>
      <c r="Q5" s="188" t="s">
        <v>96</v>
      </c>
      <c r="R5" s="189" t="s">
        <v>97</v>
      </c>
      <c r="S5" s="190" t="s">
        <v>95</v>
      </c>
      <c r="T5" s="188" t="s">
        <v>96</v>
      </c>
      <c r="U5" s="189" t="s">
        <v>97</v>
      </c>
      <c r="V5" s="190" t="s">
        <v>95</v>
      </c>
      <c r="W5" s="188" t="s">
        <v>96</v>
      </c>
      <c r="X5" s="189" t="s">
        <v>97</v>
      </c>
      <c r="Y5" s="190" t="s">
        <v>95</v>
      </c>
      <c r="Z5" s="188" t="s">
        <v>96</v>
      </c>
      <c r="AA5" s="189" t="s">
        <v>97</v>
      </c>
      <c r="AB5" s="190" t="s">
        <v>95</v>
      </c>
      <c r="AC5" s="188" t="s">
        <v>96</v>
      </c>
      <c r="AD5" s="189" t="s">
        <v>97</v>
      </c>
      <c r="AE5" s="190" t="s">
        <v>95</v>
      </c>
      <c r="AF5" s="188" t="s">
        <v>96</v>
      </c>
      <c r="AG5" s="191" t="s">
        <v>97</v>
      </c>
      <c r="AH5" s="229">
        <v>0.9</v>
      </c>
      <c r="AI5" s="229">
        <v>0.9</v>
      </c>
      <c r="AJ5" s="229">
        <v>0.9</v>
      </c>
      <c r="AK5" s="229">
        <v>0.9</v>
      </c>
      <c r="AL5" s="229">
        <v>0.9</v>
      </c>
      <c r="AM5" s="229">
        <v>0.9</v>
      </c>
      <c r="AN5" s="229">
        <v>0.9</v>
      </c>
      <c r="AO5" s="229">
        <v>0.9</v>
      </c>
      <c r="AP5" s="229">
        <v>0.9</v>
      </c>
      <c r="AQ5" s="230">
        <v>0.9</v>
      </c>
      <c r="AR5" s="12"/>
      <c r="AS5" s="12"/>
      <c r="AT5" s="12"/>
      <c r="AU5" s="12"/>
      <c r="AV5" s="12"/>
      <c r="AW5" s="12"/>
      <c r="AX5" s="12"/>
      <c r="AY5" s="12"/>
      <c r="AZ5" s="12"/>
      <c r="BA5" s="13"/>
    </row>
    <row r="6" spans="1:53" ht="15" thickBot="1" x14ac:dyDescent="0.35">
      <c r="A6" s="140" t="s">
        <v>87</v>
      </c>
      <c r="B6" s="152">
        <v>43891</v>
      </c>
      <c r="C6" s="242">
        <v>43921</v>
      </c>
      <c r="D6" s="142">
        <v>0</v>
      </c>
      <c r="E6" s="240">
        <v>3820</v>
      </c>
      <c r="F6" s="241">
        <v>0</v>
      </c>
      <c r="G6" s="235">
        <v>0</v>
      </c>
      <c r="H6" s="142">
        <v>32520</v>
      </c>
      <c r="I6" s="142">
        <v>0</v>
      </c>
      <c r="J6" s="142">
        <v>0</v>
      </c>
      <c r="K6" s="142">
        <v>14400</v>
      </c>
      <c r="L6" s="142">
        <v>0</v>
      </c>
      <c r="M6" s="142">
        <v>0</v>
      </c>
      <c r="N6" s="142">
        <v>21600</v>
      </c>
      <c r="O6" s="142">
        <v>0</v>
      </c>
      <c r="P6" s="142">
        <v>0</v>
      </c>
      <c r="Q6" s="142">
        <v>8522</v>
      </c>
      <c r="R6" s="142">
        <v>0</v>
      </c>
      <c r="S6" s="142">
        <v>0</v>
      </c>
      <c r="T6" s="142">
        <v>4500</v>
      </c>
      <c r="U6" s="142">
        <v>0</v>
      </c>
      <c r="V6" s="142">
        <v>0</v>
      </c>
      <c r="W6" s="142">
        <v>13480</v>
      </c>
      <c r="X6" s="142">
        <v>0</v>
      </c>
      <c r="Y6" s="142">
        <v>0</v>
      </c>
      <c r="Z6" s="142">
        <v>6240</v>
      </c>
      <c r="AA6" s="142">
        <v>0</v>
      </c>
      <c r="AB6" s="142">
        <v>0</v>
      </c>
      <c r="AC6" s="142">
        <v>6670</v>
      </c>
      <c r="AD6" s="142">
        <v>0</v>
      </c>
      <c r="AE6" s="142">
        <v>0</v>
      </c>
      <c r="AF6" s="142">
        <v>13890</v>
      </c>
      <c r="AG6" s="222">
        <v>0</v>
      </c>
      <c r="AH6" s="231">
        <f>+Janvier!AJ6</f>
        <v>8562.51</v>
      </c>
      <c r="AI6" s="231">
        <f>+Janvier!AK6</f>
        <v>29828.509615384621</v>
      </c>
      <c r="AJ6" s="231">
        <f>+Janvier!AL6</f>
        <v>19865.787403846156</v>
      </c>
      <c r="AK6" s="231">
        <f>+Janvier!AM6</f>
        <v>19865.787403846156</v>
      </c>
      <c r="AL6" s="231">
        <f>+Janvier!AN6</f>
        <v>12527.97403846154</v>
      </c>
      <c r="AM6" s="231">
        <f>+Janvier!AO6</f>
        <v>7457.1274038461552</v>
      </c>
      <c r="AN6" s="231">
        <f>+Janvier!AP6</f>
        <v>14914.25480769231</v>
      </c>
      <c r="AO6" s="231">
        <f>+Janvier!AQ6</f>
        <v>7457.1274038461552</v>
      </c>
      <c r="AP6" s="231">
        <f>+Janvier!AR6</f>
        <v>7457.1274038461552</v>
      </c>
      <c r="AQ6" s="231">
        <f>+Janvier!AS6</f>
        <v>13292.847692307696</v>
      </c>
      <c r="AR6" s="16">
        <f>ROUND(E6/(AH6/15),0)</f>
        <v>7</v>
      </c>
      <c r="AS6" s="16">
        <f>ROUND(H6/(AI6/15),0)</f>
        <v>16</v>
      </c>
      <c r="AT6" s="16">
        <f>ROUND(K6/(AJ6/15),0)</f>
        <v>11</v>
      </c>
      <c r="AU6" s="16">
        <f>ROUND(N6/(AK6/15),0)</f>
        <v>16</v>
      </c>
      <c r="AV6" s="16">
        <f>ROUND(Q6/(AL6/15),0)</f>
        <v>10</v>
      </c>
      <c r="AW6" s="16">
        <f>ROUND(T6/(AM6/15),0)</f>
        <v>9</v>
      </c>
      <c r="AX6" s="16">
        <f>ROUND(W6/(AN6/15),0)</f>
        <v>14</v>
      </c>
      <c r="AY6" s="16">
        <f>ROUND(Z6/(AO6/15),0)</f>
        <v>13</v>
      </c>
      <c r="AZ6" s="16">
        <f>ROUND(AC6/(AP6/15),0)</f>
        <v>13</v>
      </c>
      <c r="BA6" s="17">
        <f t="shared" ref="BA6" si="0">ROUND(AF6/(AQ6/15),0)</f>
        <v>16</v>
      </c>
    </row>
    <row r="7" spans="1:53" ht="15" thickBot="1" x14ac:dyDescent="0.35">
      <c r="A7" s="184" t="s">
        <v>100</v>
      </c>
      <c r="B7" s="152">
        <v>43891</v>
      </c>
      <c r="C7" s="242">
        <v>43921</v>
      </c>
      <c r="D7" s="107">
        <v>180</v>
      </c>
      <c r="E7" s="106">
        <v>220</v>
      </c>
      <c r="F7" s="117">
        <v>0</v>
      </c>
      <c r="G7" s="236">
        <v>320</v>
      </c>
      <c r="H7" s="96">
        <v>720</v>
      </c>
      <c r="I7" s="105">
        <v>0</v>
      </c>
      <c r="J7" s="95">
        <v>310</v>
      </c>
      <c r="K7" s="96">
        <v>530</v>
      </c>
      <c r="L7" s="97">
        <v>0</v>
      </c>
      <c r="M7" s="95">
        <v>292</v>
      </c>
      <c r="N7" s="96">
        <v>432</v>
      </c>
      <c r="O7" s="97">
        <v>0</v>
      </c>
      <c r="P7" s="95">
        <v>260</v>
      </c>
      <c r="Q7" s="96">
        <v>371</v>
      </c>
      <c r="R7" s="97">
        <v>0</v>
      </c>
      <c r="S7" s="95">
        <v>150</v>
      </c>
      <c r="T7" s="96">
        <v>180</v>
      </c>
      <c r="U7" s="97">
        <v>0</v>
      </c>
      <c r="V7" s="95">
        <v>200</v>
      </c>
      <c r="W7" s="96">
        <v>420</v>
      </c>
      <c r="X7" s="97">
        <v>0</v>
      </c>
      <c r="Y7" s="95">
        <v>100</v>
      </c>
      <c r="Z7" s="96">
        <v>210</v>
      </c>
      <c r="AA7" s="97">
        <v>0</v>
      </c>
      <c r="AB7" s="95">
        <v>140</v>
      </c>
      <c r="AC7" s="96">
        <v>210</v>
      </c>
      <c r="AD7" s="97">
        <v>0</v>
      </c>
      <c r="AE7" s="95">
        <v>260</v>
      </c>
      <c r="AF7" s="96">
        <v>360</v>
      </c>
      <c r="AG7" s="105">
        <v>0</v>
      </c>
      <c r="AH7" s="231">
        <f>+Janvier!AJ7</f>
        <v>205.71428571428572</v>
      </c>
      <c r="AI7" s="231">
        <f>+Janvier!AK7</f>
        <v>640.00000000000011</v>
      </c>
      <c r="AJ7" s="231">
        <f>+Janvier!AL7</f>
        <v>480</v>
      </c>
      <c r="AK7" s="231">
        <f>+Janvier!AM7</f>
        <v>480</v>
      </c>
      <c r="AL7" s="231">
        <f>+Janvier!AN7</f>
        <v>290.90909090909099</v>
      </c>
      <c r="AM7" s="231">
        <f>+Janvier!AO7</f>
        <v>180.00000000000003</v>
      </c>
      <c r="AN7" s="231">
        <f>+Janvier!AP7</f>
        <v>360.00000000000006</v>
      </c>
      <c r="AO7" s="231">
        <f>+Janvier!AQ7</f>
        <v>180.00000000000003</v>
      </c>
      <c r="AP7" s="231">
        <f>+Janvier!AR7</f>
        <v>180.00000000000003</v>
      </c>
      <c r="AQ7" s="231">
        <f>+Janvier!AS7</f>
        <v>320.00000000000006</v>
      </c>
      <c r="AR7" s="19">
        <f t="shared" ref="AR7:AR13" si="1">ROUND(E7/(AH7/5),0)</f>
        <v>5</v>
      </c>
      <c r="AS7" s="19">
        <f>ROUND(H7/(AI7/5),0)</f>
        <v>6</v>
      </c>
      <c r="AT7" s="19">
        <f>ROUND(K7/(AJ7/5),0)</f>
        <v>6</v>
      </c>
      <c r="AU7" s="19">
        <f>ROUND(N7/(AK7/5),0)</f>
        <v>5</v>
      </c>
      <c r="AV7" s="19">
        <f>ROUND(Q7/(AL7/5),0)</f>
        <v>6</v>
      </c>
      <c r="AW7" s="19">
        <f>ROUND(T7/(AM7/5),0)</f>
        <v>5</v>
      </c>
      <c r="AX7" s="19">
        <f>ROUND(W7/(AN7/5),0)</f>
        <v>6</v>
      </c>
      <c r="AY7" s="19">
        <f>ROUND(Z7/(AO7/5),0)</f>
        <v>6</v>
      </c>
      <c r="AZ7" s="19">
        <f>ROUND(AC7/(AP7/5),0)</f>
        <v>6</v>
      </c>
      <c r="BA7" s="20">
        <f t="shared" ref="BA7:BA13" si="2">ROUND(AF7/(AQ7/5),0)</f>
        <v>6</v>
      </c>
    </row>
    <row r="8" spans="1:53" ht="15" thickBot="1" x14ac:dyDescent="0.35">
      <c r="A8" s="184" t="s">
        <v>101</v>
      </c>
      <c r="B8" s="152">
        <v>43891</v>
      </c>
      <c r="C8" s="242">
        <v>43921</v>
      </c>
      <c r="D8" s="107">
        <v>1020</v>
      </c>
      <c r="E8" s="96">
        <v>1160</v>
      </c>
      <c r="F8" s="97">
        <v>0</v>
      </c>
      <c r="G8" s="237">
        <v>1980</v>
      </c>
      <c r="H8" s="96">
        <v>1240</v>
      </c>
      <c r="I8" s="105">
        <v>0</v>
      </c>
      <c r="J8" s="95">
        <v>1690</v>
      </c>
      <c r="K8" s="96">
        <v>1770</v>
      </c>
      <c r="L8" s="97">
        <v>0</v>
      </c>
      <c r="M8" s="95">
        <v>1624</v>
      </c>
      <c r="N8" s="96">
        <v>1696</v>
      </c>
      <c r="O8" s="97">
        <v>0</v>
      </c>
      <c r="P8" s="95">
        <v>987</v>
      </c>
      <c r="Q8" s="96">
        <v>1058</v>
      </c>
      <c r="R8" s="97">
        <v>0</v>
      </c>
      <c r="S8" s="95">
        <v>150</v>
      </c>
      <c r="T8" s="96">
        <v>230</v>
      </c>
      <c r="U8" s="97">
        <v>0</v>
      </c>
      <c r="V8" s="95">
        <v>1160</v>
      </c>
      <c r="W8" s="96">
        <v>1570</v>
      </c>
      <c r="X8" s="97">
        <v>0</v>
      </c>
      <c r="Y8" s="95">
        <v>590</v>
      </c>
      <c r="Z8" s="96">
        <v>670</v>
      </c>
      <c r="AA8" s="97">
        <v>0</v>
      </c>
      <c r="AB8" s="95">
        <v>570</v>
      </c>
      <c r="AC8" s="96">
        <v>630</v>
      </c>
      <c r="AD8" s="97">
        <v>0</v>
      </c>
      <c r="AE8" s="95">
        <v>550</v>
      </c>
      <c r="AF8" s="96">
        <v>850</v>
      </c>
      <c r="AG8" s="105">
        <v>0</v>
      </c>
      <c r="AH8" s="231">
        <f>+Janvier!AJ8</f>
        <v>676.23626373626382</v>
      </c>
      <c r="AI8" s="231">
        <f>+Janvier!AK8</f>
        <v>2103.8461538461538</v>
      </c>
      <c r="AJ8" s="231">
        <f>+Janvier!AL8</f>
        <v>1577.8846153846155</v>
      </c>
      <c r="AK8" s="231">
        <f>+Janvier!AM8</f>
        <v>1577.8846153846155</v>
      </c>
      <c r="AL8" s="231">
        <f>+Janvier!AN8</f>
        <v>956.29370629370646</v>
      </c>
      <c r="AM8" s="231">
        <f>+Janvier!AO8</f>
        <v>591.70673076923083</v>
      </c>
      <c r="AN8" s="231">
        <f>+Janvier!AP8</f>
        <v>1183.4134615384617</v>
      </c>
      <c r="AO8" s="231">
        <f>+Janvier!AQ8</f>
        <v>591.70673076923083</v>
      </c>
      <c r="AP8" s="231">
        <f>+Janvier!AR8</f>
        <v>591.70673076923083</v>
      </c>
      <c r="AQ8" s="231">
        <f>+Janvier!AS8</f>
        <v>1051.9230769230769</v>
      </c>
      <c r="AR8" s="19">
        <f t="shared" si="1"/>
        <v>9</v>
      </c>
      <c r="AS8" s="19">
        <f t="shared" ref="AS8:AS13" si="3">ROUND(H8/(AI8/5),0)</f>
        <v>3</v>
      </c>
      <c r="AT8" s="19">
        <f t="shared" ref="AT8:AT13" si="4">ROUND(K8/(AJ8/5),0)</f>
        <v>6</v>
      </c>
      <c r="AU8" s="19">
        <f t="shared" ref="AU8:AU13" si="5">ROUND(N8/(AK8/5),0)</f>
        <v>5</v>
      </c>
      <c r="AV8" s="19">
        <f t="shared" ref="AV8:AV13" si="6">ROUND(Q8/(AL8/5),0)</f>
        <v>6</v>
      </c>
      <c r="AW8" s="19">
        <f t="shared" ref="AW8:AW13" si="7">ROUND(T8/(AM8/5),0)</f>
        <v>2</v>
      </c>
      <c r="AX8" s="19">
        <f t="shared" ref="AX8:AX13" si="8">ROUND(W8/(AN8/5),0)</f>
        <v>7</v>
      </c>
      <c r="AY8" s="19">
        <f t="shared" ref="AY8:AY13" si="9">ROUND(Z8/(AO8/5),0)</f>
        <v>6</v>
      </c>
      <c r="AZ8" s="19">
        <f t="shared" ref="AZ8:AZ13" si="10">ROUND(AC8/(AP8/5),0)</f>
        <v>5</v>
      </c>
      <c r="BA8" s="20">
        <f t="shared" si="2"/>
        <v>4</v>
      </c>
    </row>
    <row r="9" spans="1:53" ht="15" thickBot="1" x14ac:dyDescent="0.35">
      <c r="A9" s="184" t="s">
        <v>102</v>
      </c>
      <c r="B9" s="152">
        <v>43891</v>
      </c>
      <c r="C9" s="242">
        <v>43921</v>
      </c>
      <c r="D9" s="107">
        <v>720</v>
      </c>
      <c r="E9" s="96">
        <v>900</v>
      </c>
      <c r="F9" s="97">
        <v>0</v>
      </c>
      <c r="G9" s="237">
        <v>1640</v>
      </c>
      <c r="H9" s="96">
        <v>2260</v>
      </c>
      <c r="I9" s="105">
        <v>0</v>
      </c>
      <c r="J9" s="95">
        <v>1340</v>
      </c>
      <c r="K9" s="96">
        <v>1700</v>
      </c>
      <c r="L9" s="97">
        <v>0</v>
      </c>
      <c r="M9" s="95">
        <v>1468</v>
      </c>
      <c r="N9" s="96">
        <v>1696</v>
      </c>
      <c r="O9" s="97">
        <v>0</v>
      </c>
      <c r="P9" s="95">
        <v>1023</v>
      </c>
      <c r="Q9" s="96">
        <v>1086</v>
      </c>
      <c r="R9" s="97">
        <v>0</v>
      </c>
      <c r="S9" s="95">
        <v>570</v>
      </c>
      <c r="T9" s="96">
        <v>570</v>
      </c>
      <c r="U9" s="97">
        <v>1</v>
      </c>
      <c r="V9" s="95">
        <v>770</v>
      </c>
      <c r="W9" s="96">
        <v>1350</v>
      </c>
      <c r="X9" s="97">
        <v>0</v>
      </c>
      <c r="Y9" s="95">
        <v>540</v>
      </c>
      <c r="Z9" s="96">
        <v>670</v>
      </c>
      <c r="AA9" s="97">
        <v>0</v>
      </c>
      <c r="AB9" s="95">
        <v>570</v>
      </c>
      <c r="AC9" s="96">
        <v>680</v>
      </c>
      <c r="AD9" s="97">
        <v>0</v>
      </c>
      <c r="AE9" s="95">
        <v>660</v>
      </c>
      <c r="AF9" s="96">
        <v>1410</v>
      </c>
      <c r="AG9" s="105">
        <v>0</v>
      </c>
      <c r="AH9" s="231">
        <f>+Janvier!AJ9</f>
        <v>611.82692307692309</v>
      </c>
      <c r="AI9" s="231">
        <f>+Janvier!AK9</f>
        <v>1903.4615384615386</v>
      </c>
      <c r="AJ9" s="231">
        <f>+Janvier!AL9</f>
        <v>1427.5961538461543</v>
      </c>
      <c r="AK9" s="231">
        <f>+Janvier!AM9</f>
        <v>1427.5961538461543</v>
      </c>
      <c r="AL9" s="231">
        <f>+Janvier!AN9</f>
        <v>865.20979020979041</v>
      </c>
      <c r="AM9" s="231">
        <f>+Janvier!AO9</f>
        <v>535.34855769230762</v>
      </c>
      <c r="AN9" s="231">
        <f>+Janvier!AP9</f>
        <v>1070.6971153846152</v>
      </c>
      <c r="AO9" s="231">
        <f>+Janvier!AQ9</f>
        <v>535.34855769230762</v>
      </c>
      <c r="AP9" s="231">
        <f>+Janvier!AR9</f>
        <v>535.34855769230762</v>
      </c>
      <c r="AQ9" s="231">
        <f>+Janvier!AS9</f>
        <v>951.73076923076928</v>
      </c>
      <c r="AR9" s="19">
        <f t="shared" si="1"/>
        <v>7</v>
      </c>
      <c r="AS9" s="19">
        <f t="shared" si="3"/>
        <v>6</v>
      </c>
      <c r="AT9" s="19">
        <f t="shared" si="4"/>
        <v>6</v>
      </c>
      <c r="AU9" s="19">
        <f t="shared" si="5"/>
        <v>6</v>
      </c>
      <c r="AV9" s="19">
        <f t="shared" si="6"/>
        <v>6</v>
      </c>
      <c r="AW9" s="19">
        <f t="shared" si="7"/>
        <v>5</v>
      </c>
      <c r="AX9" s="19">
        <f t="shared" si="8"/>
        <v>6</v>
      </c>
      <c r="AY9" s="19">
        <f t="shared" si="9"/>
        <v>6</v>
      </c>
      <c r="AZ9" s="19">
        <f t="shared" si="10"/>
        <v>6</v>
      </c>
      <c r="BA9" s="20">
        <f t="shared" si="2"/>
        <v>7</v>
      </c>
    </row>
    <row r="10" spans="1:53" ht="15" thickBot="1" x14ac:dyDescent="0.35">
      <c r="A10" s="184" t="s">
        <v>34</v>
      </c>
      <c r="B10" s="152">
        <v>43891</v>
      </c>
      <c r="C10" s="242">
        <v>43921</v>
      </c>
      <c r="D10" s="107">
        <v>80</v>
      </c>
      <c r="E10" s="96">
        <v>160</v>
      </c>
      <c r="F10" s="97">
        <v>0</v>
      </c>
      <c r="G10" s="237">
        <v>360</v>
      </c>
      <c r="H10" s="96">
        <v>400</v>
      </c>
      <c r="I10" s="105">
        <v>0</v>
      </c>
      <c r="J10" s="95">
        <v>250</v>
      </c>
      <c r="K10" s="96">
        <v>290</v>
      </c>
      <c r="L10" s="97">
        <v>0</v>
      </c>
      <c r="M10" s="95">
        <v>80</v>
      </c>
      <c r="N10" s="96">
        <v>292</v>
      </c>
      <c r="O10" s="97">
        <v>0</v>
      </c>
      <c r="P10" s="95">
        <v>350</v>
      </c>
      <c r="Q10" s="96">
        <v>360</v>
      </c>
      <c r="R10" s="97">
        <v>0</v>
      </c>
      <c r="S10" s="95">
        <v>80</v>
      </c>
      <c r="T10" s="96">
        <v>210</v>
      </c>
      <c r="U10" s="97">
        <v>0</v>
      </c>
      <c r="V10" s="95">
        <v>2200</v>
      </c>
      <c r="W10" s="96">
        <v>2200</v>
      </c>
      <c r="X10" s="97">
        <v>0</v>
      </c>
      <c r="Y10" s="95">
        <v>90</v>
      </c>
      <c r="Z10" s="96">
        <v>170</v>
      </c>
      <c r="AA10" s="97">
        <v>0</v>
      </c>
      <c r="AB10" s="95">
        <v>90</v>
      </c>
      <c r="AC10" s="96">
        <v>120</v>
      </c>
      <c r="AD10" s="97">
        <v>0</v>
      </c>
      <c r="AE10" s="95">
        <v>190</v>
      </c>
      <c r="AF10" s="96">
        <v>240</v>
      </c>
      <c r="AG10" s="105">
        <v>0</v>
      </c>
      <c r="AH10" s="231">
        <f>+Janvier!AJ10</f>
        <v>104.46428571428572</v>
      </c>
      <c r="AI10" s="231">
        <f>+Janvier!AK10</f>
        <v>325</v>
      </c>
      <c r="AJ10" s="231">
        <f>+Janvier!AL10</f>
        <v>243.75</v>
      </c>
      <c r="AK10" s="231">
        <f>+Janvier!AM10</f>
        <v>243.75</v>
      </c>
      <c r="AL10" s="231">
        <f>+Janvier!AN10</f>
        <v>147.72727272727275</v>
      </c>
      <c r="AM10" s="231">
        <f>+Janvier!AO10</f>
        <v>91.40625</v>
      </c>
      <c r="AN10" s="231">
        <f>+Janvier!AP10</f>
        <v>182.8125</v>
      </c>
      <c r="AO10" s="231">
        <f>+Janvier!AQ10</f>
        <v>91.40625</v>
      </c>
      <c r="AP10" s="231">
        <f>+Janvier!AR10</f>
        <v>91.40625</v>
      </c>
      <c r="AQ10" s="231">
        <f>+Janvier!AS10</f>
        <v>162.5</v>
      </c>
      <c r="AR10" s="19">
        <f t="shared" si="1"/>
        <v>8</v>
      </c>
      <c r="AS10" s="19">
        <f t="shared" si="3"/>
        <v>6</v>
      </c>
      <c r="AT10" s="19">
        <f t="shared" si="4"/>
        <v>6</v>
      </c>
      <c r="AU10" s="19">
        <f t="shared" si="5"/>
        <v>6</v>
      </c>
      <c r="AV10" s="19">
        <f t="shared" si="6"/>
        <v>12</v>
      </c>
      <c r="AW10" s="19">
        <f t="shared" si="7"/>
        <v>11</v>
      </c>
      <c r="AX10" s="19">
        <f t="shared" si="8"/>
        <v>60</v>
      </c>
      <c r="AY10" s="19">
        <f t="shared" si="9"/>
        <v>9</v>
      </c>
      <c r="AZ10" s="19">
        <f t="shared" si="10"/>
        <v>7</v>
      </c>
      <c r="BA10" s="20">
        <f t="shared" si="2"/>
        <v>7</v>
      </c>
    </row>
    <row r="11" spans="1:53" ht="15" thickBot="1" x14ac:dyDescent="0.35">
      <c r="A11" s="184" t="s">
        <v>103</v>
      </c>
      <c r="B11" s="152">
        <v>43891</v>
      </c>
      <c r="C11" s="242">
        <v>43921</v>
      </c>
      <c r="D11" s="107">
        <v>180</v>
      </c>
      <c r="E11" s="96">
        <v>280</v>
      </c>
      <c r="F11" s="97">
        <v>0</v>
      </c>
      <c r="G11" s="237">
        <v>200</v>
      </c>
      <c r="H11" s="96">
        <v>1160</v>
      </c>
      <c r="I11" s="105">
        <v>0</v>
      </c>
      <c r="J11" s="95">
        <v>190</v>
      </c>
      <c r="K11" s="96">
        <v>630</v>
      </c>
      <c r="L11" s="97">
        <v>0</v>
      </c>
      <c r="M11" s="95">
        <v>180</v>
      </c>
      <c r="N11" s="96">
        <v>592</v>
      </c>
      <c r="O11" s="97">
        <v>0</v>
      </c>
      <c r="P11" s="95">
        <v>180</v>
      </c>
      <c r="Q11" s="96">
        <v>369</v>
      </c>
      <c r="R11" s="97">
        <v>0</v>
      </c>
      <c r="S11" s="95">
        <v>90</v>
      </c>
      <c r="T11" s="96">
        <v>200</v>
      </c>
      <c r="U11" s="97">
        <v>0</v>
      </c>
      <c r="V11" s="95">
        <v>100</v>
      </c>
      <c r="W11" s="96">
        <v>320</v>
      </c>
      <c r="X11" s="97">
        <v>0</v>
      </c>
      <c r="Y11" s="95">
        <v>120</v>
      </c>
      <c r="Z11" s="96">
        <v>280</v>
      </c>
      <c r="AA11" s="97">
        <v>0</v>
      </c>
      <c r="AB11" s="95">
        <v>150</v>
      </c>
      <c r="AC11" s="96">
        <v>290</v>
      </c>
      <c r="AD11" s="97">
        <v>0</v>
      </c>
      <c r="AE11" s="95">
        <v>370</v>
      </c>
      <c r="AF11" s="96">
        <v>490</v>
      </c>
      <c r="AG11" s="105">
        <v>0</v>
      </c>
      <c r="AH11" s="231">
        <f>+Janvier!AJ11</f>
        <v>190.75549450549454</v>
      </c>
      <c r="AI11" s="231">
        <f>+Janvier!AK11</f>
        <v>593.46153846153857</v>
      </c>
      <c r="AJ11" s="231">
        <f>+Janvier!AL11</f>
        <v>445.09615384615392</v>
      </c>
      <c r="AK11" s="231">
        <f>+Janvier!AM11</f>
        <v>445.09615384615392</v>
      </c>
      <c r="AL11" s="231">
        <f>+Janvier!AN11</f>
        <v>269.7552447552448</v>
      </c>
      <c r="AM11" s="231">
        <f>+Janvier!AO11</f>
        <v>166.91105769230771</v>
      </c>
      <c r="AN11" s="231">
        <f>+Janvier!AP11</f>
        <v>333.82211538461542</v>
      </c>
      <c r="AO11" s="231">
        <f>+Janvier!AQ11</f>
        <v>166.91105769230771</v>
      </c>
      <c r="AP11" s="231">
        <f>+Janvier!AR11</f>
        <v>166.91105769230771</v>
      </c>
      <c r="AQ11" s="231">
        <f>+Janvier!AS11</f>
        <v>296.73076923076928</v>
      </c>
      <c r="AR11" s="19">
        <f t="shared" si="1"/>
        <v>7</v>
      </c>
      <c r="AS11" s="19">
        <f t="shared" si="3"/>
        <v>10</v>
      </c>
      <c r="AT11" s="19">
        <f t="shared" si="4"/>
        <v>7</v>
      </c>
      <c r="AU11" s="19">
        <f t="shared" si="5"/>
        <v>7</v>
      </c>
      <c r="AV11" s="19">
        <f t="shared" si="6"/>
        <v>7</v>
      </c>
      <c r="AW11" s="19">
        <f t="shared" si="7"/>
        <v>6</v>
      </c>
      <c r="AX11" s="19">
        <f t="shared" si="8"/>
        <v>5</v>
      </c>
      <c r="AY11" s="19">
        <f t="shared" si="9"/>
        <v>8</v>
      </c>
      <c r="AZ11" s="19">
        <f t="shared" si="10"/>
        <v>9</v>
      </c>
      <c r="BA11" s="20">
        <f t="shared" si="2"/>
        <v>8</v>
      </c>
    </row>
    <row r="12" spans="1:53" ht="15" thickBot="1" x14ac:dyDescent="0.35">
      <c r="A12" s="184" t="s">
        <v>104</v>
      </c>
      <c r="B12" s="152">
        <v>43891</v>
      </c>
      <c r="C12" s="242">
        <v>43921</v>
      </c>
      <c r="D12" s="107">
        <v>180</v>
      </c>
      <c r="E12" s="106">
        <v>200</v>
      </c>
      <c r="F12" s="117">
        <v>0</v>
      </c>
      <c r="G12" s="236">
        <v>200</v>
      </c>
      <c r="H12" s="96">
        <v>740</v>
      </c>
      <c r="I12" s="105">
        <v>0</v>
      </c>
      <c r="J12" s="95">
        <v>190</v>
      </c>
      <c r="K12" s="96">
        <v>410</v>
      </c>
      <c r="L12" s="97">
        <v>0</v>
      </c>
      <c r="M12" s="95">
        <v>180</v>
      </c>
      <c r="N12" s="96">
        <v>432</v>
      </c>
      <c r="O12" s="97">
        <v>0</v>
      </c>
      <c r="P12" s="95">
        <v>180</v>
      </c>
      <c r="Q12" s="96">
        <v>378</v>
      </c>
      <c r="R12" s="97">
        <v>0</v>
      </c>
      <c r="S12" s="95">
        <v>90</v>
      </c>
      <c r="T12" s="96">
        <v>170</v>
      </c>
      <c r="U12" s="97">
        <v>0</v>
      </c>
      <c r="V12" s="95">
        <v>150</v>
      </c>
      <c r="W12" s="96">
        <v>620</v>
      </c>
      <c r="X12" s="97">
        <v>0</v>
      </c>
      <c r="Y12" s="95">
        <v>120</v>
      </c>
      <c r="Z12" s="96">
        <v>310</v>
      </c>
      <c r="AA12" s="97">
        <v>0</v>
      </c>
      <c r="AB12" s="95">
        <v>100</v>
      </c>
      <c r="AC12" s="96">
        <v>340</v>
      </c>
      <c r="AD12" s="97">
        <v>0</v>
      </c>
      <c r="AE12" s="95">
        <v>370</v>
      </c>
      <c r="AF12" s="96">
        <v>700</v>
      </c>
      <c r="AG12" s="105">
        <v>0</v>
      </c>
      <c r="AH12" s="231">
        <f>+Janvier!AJ12</f>
        <v>302.3901098901099</v>
      </c>
      <c r="AI12" s="231">
        <f>+Janvier!AK12</f>
        <v>940.76923076923083</v>
      </c>
      <c r="AJ12" s="231">
        <f>+Janvier!AL12</f>
        <v>705.57692307692321</v>
      </c>
      <c r="AK12" s="231">
        <f>+Janvier!AM12</f>
        <v>705.57692307692321</v>
      </c>
      <c r="AL12" s="231">
        <f>+Janvier!AN12</f>
        <v>427.62237762237766</v>
      </c>
      <c r="AM12" s="231">
        <f>+Janvier!AO12</f>
        <v>264.59134615384619</v>
      </c>
      <c r="AN12" s="231">
        <f>+Janvier!AP12</f>
        <v>529.18269230769238</v>
      </c>
      <c r="AO12" s="231">
        <f>+Janvier!AQ12</f>
        <v>264.59134615384619</v>
      </c>
      <c r="AP12" s="231">
        <f>+Janvier!AR12</f>
        <v>264.59134615384619</v>
      </c>
      <c r="AQ12" s="231">
        <f>+Janvier!AS12</f>
        <v>470.38461538461542</v>
      </c>
      <c r="AR12" s="19">
        <f t="shared" si="1"/>
        <v>3</v>
      </c>
      <c r="AS12" s="19">
        <f t="shared" si="3"/>
        <v>4</v>
      </c>
      <c r="AT12" s="19">
        <f t="shared" si="4"/>
        <v>3</v>
      </c>
      <c r="AU12" s="19">
        <f t="shared" si="5"/>
        <v>3</v>
      </c>
      <c r="AV12" s="19">
        <f t="shared" si="6"/>
        <v>4</v>
      </c>
      <c r="AW12" s="19">
        <f t="shared" si="7"/>
        <v>3</v>
      </c>
      <c r="AX12" s="19">
        <f t="shared" si="8"/>
        <v>6</v>
      </c>
      <c r="AY12" s="19">
        <f t="shared" si="9"/>
        <v>6</v>
      </c>
      <c r="AZ12" s="19">
        <f t="shared" si="10"/>
        <v>6</v>
      </c>
      <c r="BA12" s="20">
        <f t="shared" si="2"/>
        <v>7</v>
      </c>
    </row>
    <row r="13" spans="1:53" ht="15" thickBot="1" x14ac:dyDescent="0.35">
      <c r="A13" s="121" t="s">
        <v>105</v>
      </c>
      <c r="B13" s="152">
        <v>43891</v>
      </c>
      <c r="C13" s="242">
        <v>43921</v>
      </c>
      <c r="D13" s="249">
        <v>1080</v>
      </c>
      <c r="E13" s="250">
        <v>1080</v>
      </c>
      <c r="F13" s="251">
        <v>1</v>
      </c>
      <c r="G13" s="238">
        <v>2240</v>
      </c>
      <c r="H13" s="109">
        <v>2680</v>
      </c>
      <c r="I13" s="112">
        <v>0</v>
      </c>
      <c r="J13" s="111">
        <v>1690</v>
      </c>
      <c r="K13" s="109">
        <v>2040</v>
      </c>
      <c r="L13" s="110">
        <v>0</v>
      </c>
      <c r="M13" s="111">
        <v>1620</v>
      </c>
      <c r="N13" s="109">
        <v>2040</v>
      </c>
      <c r="O13" s="110">
        <v>0</v>
      </c>
      <c r="P13" s="111">
        <v>1000</v>
      </c>
      <c r="Q13" s="109">
        <v>1310</v>
      </c>
      <c r="R13" s="110">
        <v>0</v>
      </c>
      <c r="S13" s="111">
        <v>650</v>
      </c>
      <c r="T13" s="109">
        <v>680</v>
      </c>
      <c r="U13" s="110">
        <v>0</v>
      </c>
      <c r="V13" s="111">
        <v>1430</v>
      </c>
      <c r="W13" s="109">
        <v>1620</v>
      </c>
      <c r="X13" s="110">
        <v>0</v>
      </c>
      <c r="Y13" s="111">
        <v>730</v>
      </c>
      <c r="Z13" s="109">
        <v>810</v>
      </c>
      <c r="AA13" s="110">
        <v>0</v>
      </c>
      <c r="AB13" s="111">
        <v>810</v>
      </c>
      <c r="AC13" s="109">
        <v>810</v>
      </c>
      <c r="AD13" s="110">
        <v>1</v>
      </c>
      <c r="AE13" s="111">
        <v>1160</v>
      </c>
      <c r="AF13" s="109">
        <v>1700</v>
      </c>
      <c r="AG13" s="112">
        <v>0</v>
      </c>
      <c r="AH13" s="231">
        <f>+Janvier!AJ13</f>
        <v>749.42307692307691</v>
      </c>
      <c r="AI13" s="231">
        <f>+Janvier!AK13</f>
        <v>2331.5384615384619</v>
      </c>
      <c r="AJ13" s="231">
        <f>+Janvier!AL13</f>
        <v>1748.6538461538464</v>
      </c>
      <c r="AK13" s="231">
        <f>+Janvier!AM13</f>
        <v>1748.6538461538464</v>
      </c>
      <c r="AL13" s="231">
        <f>+Janvier!AN13</f>
        <v>1059.7902097902099</v>
      </c>
      <c r="AM13" s="231">
        <f>+Janvier!AO13</f>
        <v>655.74519230769226</v>
      </c>
      <c r="AN13" s="231">
        <f>+Janvier!AP13</f>
        <v>1311.4903846153845</v>
      </c>
      <c r="AO13" s="231">
        <f>+Janvier!AQ13</f>
        <v>655.74519230769226</v>
      </c>
      <c r="AP13" s="231">
        <f>+Janvier!AR13</f>
        <v>655.74519230769226</v>
      </c>
      <c r="AQ13" s="231">
        <f>+Janvier!AS13</f>
        <v>1165.7692307692309</v>
      </c>
      <c r="AR13" s="29">
        <f t="shared" si="1"/>
        <v>7</v>
      </c>
      <c r="AS13" s="29">
        <f t="shared" si="3"/>
        <v>6</v>
      </c>
      <c r="AT13" s="29">
        <f t="shared" si="4"/>
        <v>6</v>
      </c>
      <c r="AU13" s="29">
        <f t="shared" si="5"/>
        <v>6</v>
      </c>
      <c r="AV13" s="29">
        <f t="shared" si="6"/>
        <v>6</v>
      </c>
      <c r="AW13" s="29">
        <f t="shared" si="7"/>
        <v>5</v>
      </c>
      <c r="AX13" s="29">
        <f t="shared" si="8"/>
        <v>6</v>
      </c>
      <c r="AY13" s="29">
        <f t="shared" si="9"/>
        <v>6</v>
      </c>
      <c r="AZ13" s="29">
        <f t="shared" si="10"/>
        <v>6</v>
      </c>
      <c r="BA13" s="30">
        <f t="shared" si="2"/>
        <v>7</v>
      </c>
    </row>
    <row r="14" spans="1:53" x14ac:dyDescent="0.3">
      <c r="A14" s="140" t="s">
        <v>85</v>
      </c>
      <c r="B14" s="152">
        <v>43891</v>
      </c>
      <c r="C14" s="242">
        <v>43921</v>
      </c>
      <c r="D14" s="155">
        <v>0</v>
      </c>
      <c r="E14" s="154">
        <v>2940</v>
      </c>
      <c r="F14" s="165">
        <v>0</v>
      </c>
      <c r="G14" s="245">
        <v>0</v>
      </c>
      <c r="H14" s="167">
        <v>18480</v>
      </c>
      <c r="I14" s="168">
        <v>0</v>
      </c>
      <c r="J14" s="155">
        <v>0</v>
      </c>
      <c r="K14" s="154">
        <v>9400</v>
      </c>
      <c r="L14" s="153">
        <v>0</v>
      </c>
      <c r="M14" s="155">
        <v>0</v>
      </c>
      <c r="N14" s="154">
        <v>14316</v>
      </c>
      <c r="O14" s="153">
        <v>0</v>
      </c>
      <c r="P14" s="155">
        <v>0</v>
      </c>
      <c r="Q14" s="154">
        <v>5711</v>
      </c>
      <c r="R14" s="153">
        <v>0</v>
      </c>
      <c r="S14" s="155">
        <v>0</v>
      </c>
      <c r="T14" s="154">
        <v>2920</v>
      </c>
      <c r="U14" s="153">
        <v>0</v>
      </c>
      <c r="V14" s="155">
        <v>0</v>
      </c>
      <c r="W14" s="154">
        <v>9890</v>
      </c>
      <c r="X14" s="153">
        <v>0</v>
      </c>
      <c r="Y14" s="155">
        <v>0</v>
      </c>
      <c r="Z14" s="154">
        <v>2510</v>
      </c>
      <c r="AA14" s="153">
        <v>0</v>
      </c>
      <c r="AB14" s="155">
        <v>0</v>
      </c>
      <c r="AC14" s="154">
        <v>1330</v>
      </c>
      <c r="AD14" s="153">
        <v>0</v>
      </c>
      <c r="AE14" s="155">
        <v>0</v>
      </c>
      <c r="AF14" s="154">
        <v>9760</v>
      </c>
      <c r="AG14" s="223">
        <v>0</v>
      </c>
      <c r="AH14" s="231">
        <f>+Janvier!AJ14</f>
        <v>10845.32625</v>
      </c>
      <c r="AI14" s="231">
        <f>+Janvier!AK14</f>
        <v>37883.076923076922</v>
      </c>
      <c r="AJ14" s="231">
        <f>+Janvier!AL14</f>
        <v>25230.129230769231</v>
      </c>
      <c r="AK14" s="231">
        <f>+Janvier!AM14</f>
        <v>25230.129230769231</v>
      </c>
      <c r="AL14" s="231">
        <f>+Janvier!AN14</f>
        <v>15910.892307692309</v>
      </c>
      <c r="AM14" s="231">
        <f>+Janvier!AO14</f>
        <v>9470.7692307692305</v>
      </c>
      <c r="AN14" s="231">
        <f>+Janvier!AP14</f>
        <v>18941.538461538461</v>
      </c>
      <c r="AO14" s="231">
        <f>+Janvier!AQ14</f>
        <v>9470.7692307692305</v>
      </c>
      <c r="AP14" s="231">
        <f>+Janvier!AR14</f>
        <v>9470.7692307692305</v>
      </c>
      <c r="AQ14" s="231">
        <f>+Janvier!AS14</f>
        <v>16836.800192307695</v>
      </c>
      <c r="AR14" s="16">
        <f>ROUND(E14/(AH14/15),0)</f>
        <v>4</v>
      </c>
      <c r="AS14" s="16">
        <f t="shared" ref="AS14" si="11">ROUND(H14/(AI14/15),0)</f>
        <v>7</v>
      </c>
      <c r="AT14" s="16">
        <f t="shared" ref="AT14" si="12">ROUND(K14/(AJ14/15),0)</f>
        <v>6</v>
      </c>
      <c r="AU14" s="16">
        <f t="shared" ref="AU14" si="13">ROUND(N14/(AK14/15),0)</f>
        <v>9</v>
      </c>
      <c r="AV14" s="16">
        <f t="shared" ref="AV14" si="14">ROUND(Q14/(AL14/15),0)</f>
        <v>5</v>
      </c>
      <c r="AW14" s="16">
        <f t="shared" ref="AW14" si="15">ROUND(T14/(AM14/15),0)</f>
        <v>5</v>
      </c>
      <c r="AX14" s="16">
        <f t="shared" ref="AX14" si="16">ROUND(W14/(AN14/15),0)</f>
        <v>8</v>
      </c>
      <c r="AY14" s="16">
        <f t="shared" ref="AY14" si="17">ROUND(Z14/(AO14/15),0)</f>
        <v>4</v>
      </c>
      <c r="AZ14" s="16">
        <f t="shared" ref="AZ14" si="18">ROUND(AC14/(AP14/15),0)</f>
        <v>2</v>
      </c>
      <c r="BA14" s="17">
        <f t="shared" ref="BA14" si="19">ROUND(AF14/(AQ14/15),0)</f>
        <v>9</v>
      </c>
    </row>
    <row r="15" spans="1:53" x14ac:dyDescent="0.3">
      <c r="A15" s="184" t="s">
        <v>57</v>
      </c>
      <c r="B15" s="127">
        <v>43891</v>
      </c>
      <c r="C15" s="243">
        <v>43921</v>
      </c>
      <c r="D15" s="130">
        <v>480</v>
      </c>
      <c r="E15" s="129">
        <v>120</v>
      </c>
      <c r="F15" s="169">
        <v>0</v>
      </c>
      <c r="G15" s="246">
        <v>1560</v>
      </c>
      <c r="H15" s="171">
        <v>340</v>
      </c>
      <c r="I15" s="172">
        <v>0</v>
      </c>
      <c r="J15" s="130">
        <v>770</v>
      </c>
      <c r="K15" s="129">
        <v>230</v>
      </c>
      <c r="L15" s="128">
        <v>0</v>
      </c>
      <c r="M15" s="130">
        <v>1132</v>
      </c>
      <c r="N15" s="129">
        <v>200</v>
      </c>
      <c r="O15" s="128">
        <v>0</v>
      </c>
      <c r="P15" s="130">
        <v>692</v>
      </c>
      <c r="Q15" s="129">
        <v>350</v>
      </c>
      <c r="R15" s="128">
        <v>0</v>
      </c>
      <c r="S15" s="130">
        <v>330</v>
      </c>
      <c r="T15" s="129">
        <v>0</v>
      </c>
      <c r="U15" s="128">
        <v>0</v>
      </c>
      <c r="V15" s="130">
        <v>710</v>
      </c>
      <c r="W15" s="129">
        <v>400</v>
      </c>
      <c r="X15" s="128">
        <v>0</v>
      </c>
      <c r="Y15" s="130">
        <v>410</v>
      </c>
      <c r="Z15" s="129">
        <v>0</v>
      </c>
      <c r="AA15" s="128">
        <v>0</v>
      </c>
      <c r="AB15" s="130">
        <v>240</v>
      </c>
      <c r="AC15" s="129">
        <v>50</v>
      </c>
      <c r="AD15" s="128">
        <v>0</v>
      </c>
      <c r="AE15" s="130">
        <v>440</v>
      </c>
      <c r="AF15" s="129">
        <v>600</v>
      </c>
      <c r="AG15" s="224">
        <v>0</v>
      </c>
      <c r="AH15" s="231">
        <f>+Janvier!AJ15</f>
        <v>567.93956043956052</v>
      </c>
      <c r="AI15" s="231">
        <f>+Janvier!AK15</f>
        <v>1766.9230769230774</v>
      </c>
      <c r="AJ15" s="231">
        <f>+Janvier!AL15</f>
        <v>1325.1923076923076</v>
      </c>
      <c r="AK15" s="231">
        <f>+Janvier!AM15</f>
        <v>1325.1923076923076</v>
      </c>
      <c r="AL15" s="231">
        <f>+Janvier!AN15</f>
        <v>803.14685314685323</v>
      </c>
      <c r="AM15" s="231">
        <f>+Janvier!AO15</f>
        <v>496.94711538461542</v>
      </c>
      <c r="AN15" s="231">
        <f>+Janvier!AP15</f>
        <v>993.89423076923083</v>
      </c>
      <c r="AO15" s="231">
        <f>+Janvier!AQ15</f>
        <v>496.94711538461542</v>
      </c>
      <c r="AP15" s="231">
        <f>+Janvier!AR15</f>
        <v>496.94711538461542</v>
      </c>
      <c r="AQ15" s="231">
        <f>+Janvier!AS15</f>
        <v>883.46153846153868</v>
      </c>
      <c r="AR15" s="16">
        <f t="shared" ref="AR15:AR20" si="20">ROUND(E15/(AH15/5),0)</f>
        <v>1</v>
      </c>
      <c r="AS15" s="16">
        <f t="shared" ref="AS15:AS20" si="21">ROUND(H15/(AI15/5),0)</f>
        <v>1</v>
      </c>
      <c r="AT15" s="16">
        <f t="shared" ref="AT15:AT20" si="22">ROUND(K15/(AJ15/5),0)</f>
        <v>1</v>
      </c>
      <c r="AU15" s="16">
        <f t="shared" ref="AU15:AU20" si="23">ROUND(N15/(AK15/5),0)</f>
        <v>1</v>
      </c>
      <c r="AV15" s="16">
        <f t="shared" ref="AV15:AV20" si="24">ROUND(Q15/(AL15/5),0)</f>
        <v>2</v>
      </c>
      <c r="AW15" s="16">
        <f t="shared" ref="AW15:AW20" si="25">ROUND(T15/(AM15/5),0)</f>
        <v>0</v>
      </c>
      <c r="AX15" s="16">
        <f t="shared" ref="AX15:AX20" si="26">ROUND(W15/(AN15/5),0)</f>
        <v>2</v>
      </c>
      <c r="AY15" s="16">
        <f t="shared" ref="AY15:AY20" si="27">ROUND(Z15/(AO15/5),0)</f>
        <v>0</v>
      </c>
      <c r="AZ15" s="16">
        <f t="shared" ref="AZ15:AZ20" si="28">ROUND(AC15/(AP15/5),0)</f>
        <v>1</v>
      </c>
      <c r="BA15" s="17">
        <f t="shared" ref="BA15:BA20" si="29">ROUND(AF15/(AQ15/5),0)</f>
        <v>3</v>
      </c>
    </row>
    <row r="16" spans="1:53" x14ac:dyDescent="0.3">
      <c r="A16" s="184" t="s">
        <v>58</v>
      </c>
      <c r="B16" s="127">
        <v>43891</v>
      </c>
      <c r="C16" s="243">
        <v>43921</v>
      </c>
      <c r="D16" s="130">
        <v>1360</v>
      </c>
      <c r="E16" s="129">
        <v>0</v>
      </c>
      <c r="F16" s="169">
        <v>0</v>
      </c>
      <c r="G16" s="246">
        <v>5240</v>
      </c>
      <c r="H16" s="171">
        <v>1520</v>
      </c>
      <c r="I16" s="172">
        <v>0</v>
      </c>
      <c r="J16" s="130">
        <v>3300</v>
      </c>
      <c r="K16" s="129">
        <v>140</v>
      </c>
      <c r="L16" s="131">
        <v>0</v>
      </c>
      <c r="M16" s="130">
        <v>3200</v>
      </c>
      <c r="N16" s="129">
        <v>452</v>
      </c>
      <c r="O16" s="128">
        <v>0</v>
      </c>
      <c r="P16" s="130">
        <v>2570</v>
      </c>
      <c r="Q16" s="129">
        <v>750</v>
      </c>
      <c r="R16" s="128">
        <v>0</v>
      </c>
      <c r="S16" s="130">
        <v>1070</v>
      </c>
      <c r="T16" s="129">
        <v>380</v>
      </c>
      <c r="U16" s="128">
        <v>0</v>
      </c>
      <c r="V16" s="130">
        <v>1620</v>
      </c>
      <c r="W16" s="129">
        <v>1060</v>
      </c>
      <c r="X16" s="128">
        <v>0</v>
      </c>
      <c r="Y16" s="130">
        <v>1030</v>
      </c>
      <c r="Z16" s="129">
        <v>500</v>
      </c>
      <c r="AA16" s="128">
        <v>0</v>
      </c>
      <c r="AB16" s="130">
        <v>1100</v>
      </c>
      <c r="AC16" s="129">
        <v>420</v>
      </c>
      <c r="AD16" s="128">
        <v>0</v>
      </c>
      <c r="AE16" s="130">
        <v>960</v>
      </c>
      <c r="AF16" s="129">
        <v>680</v>
      </c>
      <c r="AG16" s="224">
        <v>0</v>
      </c>
      <c r="AH16" s="231">
        <f>+Janvier!AJ16</f>
        <v>952.54120879120887</v>
      </c>
      <c r="AI16" s="231">
        <f>+Janvier!AK16</f>
        <v>2963.4615384615386</v>
      </c>
      <c r="AJ16" s="231">
        <f>+Janvier!AL16</f>
        <v>2222.5961538461538</v>
      </c>
      <c r="AK16" s="231">
        <f>+Janvier!AM16</f>
        <v>2222.5961538461538</v>
      </c>
      <c r="AL16" s="231">
        <f>+Janvier!AN16</f>
        <v>1347.0279720279721</v>
      </c>
      <c r="AM16" s="231">
        <f>+Janvier!AO16</f>
        <v>833.47355769230774</v>
      </c>
      <c r="AN16" s="231">
        <f>+Janvier!AP16</f>
        <v>1666.9471153846155</v>
      </c>
      <c r="AO16" s="231">
        <f>+Janvier!AQ16</f>
        <v>833.47355769230774</v>
      </c>
      <c r="AP16" s="231">
        <f>+Janvier!AR16</f>
        <v>833.47355769230774</v>
      </c>
      <c r="AQ16" s="231">
        <f>+Janvier!AS16</f>
        <v>1481.7307692307693</v>
      </c>
      <c r="AR16" s="16">
        <f t="shared" si="20"/>
        <v>0</v>
      </c>
      <c r="AS16" s="16">
        <f t="shared" si="21"/>
        <v>3</v>
      </c>
      <c r="AT16" s="16">
        <f t="shared" si="22"/>
        <v>0</v>
      </c>
      <c r="AU16" s="16">
        <f t="shared" si="23"/>
        <v>1</v>
      </c>
      <c r="AV16" s="16">
        <f t="shared" si="24"/>
        <v>3</v>
      </c>
      <c r="AW16" s="16">
        <f t="shared" si="25"/>
        <v>2</v>
      </c>
      <c r="AX16" s="16">
        <f t="shared" si="26"/>
        <v>3</v>
      </c>
      <c r="AY16" s="16">
        <f t="shared" si="27"/>
        <v>3</v>
      </c>
      <c r="AZ16" s="16">
        <f t="shared" si="28"/>
        <v>3</v>
      </c>
      <c r="BA16" s="17">
        <f t="shared" si="29"/>
        <v>2</v>
      </c>
    </row>
    <row r="17" spans="1:53" x14ac:dyDescent="0.3">
      <c r="A17" s="184" t="s">
        <v>59</v>
      </c>
      <c r="B17" s="127">
        <v>43891</v>
      </c>
      <c r="C17" s="243">
        <v>43921</v>
      </c>
      <c r="D17" s="130">
        <v>800</v>
      </c>
      <c r="E17" s="129">
        <v>40</v>
      </c>
      <c r="F17" s="169">
        <v>0</v>
      </c>
      <c r="G17" s="246">
        <v>2220</v>
      </c>
      <c r="H17" s="171">
        <v>260</v>
      </c>
      <c r="I17" s="172">
        <v>0</v>
      </c>
      <c r="J17" s="130">
        <v>1420</v>
      </c>
      <c r="K17" s="129">
        <v>90</v>
      </c>
      <c r="L17" s="128">
        <v>0</v>
      </c>
      <c r="M17" s="130">
        <v>600</v>
      </c>
      <c r="N17" s="129">
        <v>300</v>
      </c>
      <c r="O17" s="128">
        <v>0</v>
      </c>
      <c r="P17" s="130">
        <v>890</v>
      </c>
      <c r="Q17" s="129">
        <v>180</v>
      </c>
      <c r="R17" s="128">
        <v>0</v>
      </c>
      <c r="S17" s="130">
        <v>410</v>
      </c>
      <c r="T17" s="129">
        <v>100</v>
      </c>
      <c r="U17" s="128">
        <v>0</v>
      </c>
      <c r="V17" s="130">
        <v>830</v>
      </c>
      <c r="W17" s="129">
        <v>500</v>
      </c>
      <c r="X17" s="128">
        <v>0</v>
      </c>
      <c r="Y17" s="130">
        <v>610</v>
      </c>
      <c r="Z17" s="129">
        <v>190</v>
      </c>
      <c r="AA17" s="128">
        <v>0</v>
      </c>
      <c r="AB17" s="130">
        <v>550</v>
      </c>
      <c r="AC17" s="129">
        <v>110</v>
      </c>
      <c r="AD17" s="128">
        <v>0</v>
      </c>
      <c r="AE17" s="130">
        <v>810</v>
      </c>
      <c r="AF17" s="129">
        <v>290</v>
      </c>
      <c r="AG17" s="224">
        <v>0</v>
      </c>
      <c r="AH17" s="231">
        <f>+Janvier!AJ17</f>
        <v>506.86813186813191</v>
      </c>
      <c r="AI17" s="231">
        <f>+Janvier!AK17</f>
        <v>1576.9230769230767</v>
      </c>
      <c r="AJ17" s="231">
        <f>+Janvier!AL17</f>
        <v>1182.6923076923076</v>
      </c>
      <c r="AK17" s="231">
        <f>+Janvier!AM17</f>
        <v>1182.6923076923076</v>
      </c>
      <c r="AL17" s="231">
        <f>+Janvier!AN17</f>
        <v>716.78321678321686</v>
      </c>
      <c r="AM17" s="231">
        <f>+Janvier!AO17</f>
        <v>443.50961538461542</v>
      </c>
      <c r="AN17" s="231">
        <f>+Janvier!AP17</f>
        <v>887.01923076923083</v>
      </c>
      <c r="AO17" s="231">
        <f>+Janvier!AQ17</f>
        <v>443.50961538461542</v>
      </c>
      <c r="AP17" s="231">
        <f>+Janvier!AR17</f>
        <v>443.50961538461542</v>
      </c>
      <c r="AQ17" s="231">
        <f>+Janvier!AS17</f>
        <v>788.46153846153834</v>
      </c>
      <c r="AR17" s="16">
        <f t="shared" si="20"/>
        <v>0</v>
      </c>
      <c r="AS17" s="16">
        <f t="shared" si="21"/>
        <v>1</v>
      </c>
      <c r="AT17" s="16">
        <f t="shared" si="22"/>
        <v>0</v>
      </c>
      <c r="AU17" s="16">
        <f t="shared" si="23"/>
        <v>1</v>
      </c>
      <c r="AV17" s="16">
        <f t="shared" si="24"/>
        <v>1</v>
      </c>
      <c r="AW17" s="16">
        <f t="shared" si="25"/>
        <v>1</v>
      </c>
      <c r="AX17" s="16">
        <f t="shared" si="26"/>
        <v>3</v>
      </c>
      <c r="AY17" s="16">
        <f t="shared" si="27"/>
        <v>2</v>
      </c>
      <c r="AZ17" s="16">
        <f t="shared" si="28"/>
        <v>1</v>
      </c>
      <c r="BA17" s="17">
        <f t="shared" si="29"/>
        <v>2</v>
      </c>
    </row>
    <row r="18" spans="1:53" x14ac:dyDescent="0.3">
      <c r="A18" s="184" t="s">
        <v>60</v>
      </c>
      <c r="B18" s="127">
        <v>43891</v>
      </c>
      <c r="C18" s="243">
        <v>43921</v>
      </c>
      <c r="D18" s="130">
        <v>740</v>
      </c>
      <c r="E18" s="129">
        <v>0</v>
      </c>
      <c r="F18" s="169">
        <v>0</v>
      </c>
      <c r="G18" s="246">
        <v>2500</v>
      </c>
      <c r="H18" s="171">
        <v>120</v>
      </c>
      <c r="I18" s="172">
        <v>0</v>
      </c>
      <c r="J18" s="130">
        <v>1130</v>
      </c>
      <c r="K18" s="129">
        <v>0</v>
      </c>
      <c r="L18" s="131">
        <v>0</v>
      </c>
      <c r="M18" s="130">
        <v>1780</v>
      </c>
      <c r="N18" s="129">
        <v>32</v>
      </c>
      <c r="O18" s="131">
        <v>0</v>
      </c>
      <c r="P18" s="130">
        <v>957</v>
      </c>
      <c r="Q18" s="129">
        <v>53</v>
      </c>
      <c r="R18" s="128">
        <v>0</v>
      </c>
      <c r="S18" s="130">
        <v>450</v>
      </c>
      <c r="T18" s="129">
        <v>30</v>
      </c>
      <c r="U18" s="128">
        <v>0</v>
      </c>
      <c r="V18" s="130">
        <v>0</v>
      </c>
      <c r="W18" s="129">
        <v>820</v>
      </c>
      <c r="X18" s="128">
        <v>0</v>
      </c>
      <c r="Y18" s="130">
        <v>470</v>
      </c>
      <c r="Z18" s="129">
        <v>70</v>
      </c>
      <c r="AA18" s="128">
        <v>0</v>
      </c>
      <c r="AB18" s="130">
        <v>400</v>
      </c>
      <c r="AC18" s="129">
        <v>230</v>
      </c>
      <c r="AD18" s="128">
        <v>0</v>
      </c>
      <c r="AE18" s="130">
        <v>480</v>
      </c>
      <c r="AF18" s="129">
        <v>420</v>
      </c>
      <c r="AG18" s="224">
        <v>0</v>
      </c>
      <c r="AH18" s="231">
        <f>+Janvier!AJ18</f>
        <v>785.76923076923083</v>
      </c>
      <c r="AI18" s="231">
        <f>+Janvier!AK18</f>
        <v>2444.6153846153852</v>
      </c>
      <c r="AJ18" s="231">
        <f>+Janvier!AL18</f>
        <v>1833.4615384615383</v>
      </c>
      <c r="AK18" s="231">
        <f>+Janvier!AM18</f>
        <v>1833.4615384615383</v>
      </c>
      <c r="AL18" s="231">
        <f>+Janvier!AN18</f>
        <v>1111.1888111888113</v>
      </c>
      <c r="AM18" s="231">
        <f>+Janvier!AO18</f>
        <v>687.54807692307713</v>
      </c>
      <c r="AN18" s="231">
        <f>+Janvier!AP18</f>
        <v>1375.0961538461543</v>
      </c>
      <c r="AO18" s="231">
        <f>+Janvier!AQ18</f>
        <v>687.54807692307713</v>
      </c>
      <c r="AP18" s="231">
        <f>+Janvier!AR18</f>
        <v>687.54807692307713</v>
      </c>
      <c r="AQ18" s="231">
        <f>+Janvier!AS18</f>
        <v>1222.3076923076926</v>
      </c>
      <c r="AR18" s="16">
        <f t="shared" si="20"/>
        <v>0</v>
      </c>
      <c r="AS18" s="16">
        <f t="shared" si="21"/>
        <v>0</v>
      </c>
      <c r="AT18" s="16">
        <f t="shared" si="22"/>
        <v>0</v>
      </c>
      <c r="AU18" s="16">
        <f t="shared" si="23"/>
        <v>0</v>
      </c>
      <c r="AV18" s="16">
        <f t="shared" si="24"/>
        <v>0</v>
      </c>
      <c r="AW18" s="16">
        <f t="shared" si="25"/>
        <v>0</v>
      </c>
      <c r="AX18" s="16">
        <f t="shared" si="26"/>
        <v>3</v>
      </c>
      <c r="AY18" s="16">
        <f t="shared" si="27"/>
        <v>1</v>
      </c>
      <c r="AZ18" s="16">
        <f t="shared" si="28"/>
        <v>2</v>
      </c>
      <c r="BA18" s="17">
        <f t="shared" si="29"/>
        <v>2</v>
      </c>
    </row>
    <row r="19" spans="1:53" x14ac:dyDescent="0.3">
      <c r="A19" s="184" t="s">
        <v>61</v>
      </c>
      <c r="B19" s="127">
        <v>43891</v>
      </c>
      <c r="C19" s="243">
        <v>43921</v>
      </c>
      <c r="D19" s="130">
        <v>180</v>
      </c>
      <c r="E19" s="129">
        <v>200</v>
      </c>
      <c r="F19" s="169">
        <v>0</v>
      </c>
      <c r="G19" s="247">
        <v>560</v>
      </c>
      <c r="H19" s="175">
        <v>40</v>
      </c>
      <c r="I19" s="176">
        <v>0</v>
      </c>
      <c r="J19" s="134">
        <v>350</v>
      </c>
      <c r="K19" s="133">
        <v>350</v>
      </c>
      <c r="L19" s="132">
        <v>0</v>
      </c>
      <c r="M19" s="134">
        <v>492</v>
      </c>
      <c r="N19" s="133">
        <v>1000</v>
      </c>
      <c r="O19" s="132">
        <v>0</v>
      </c>
      <c r="P19" s="134">
        <v>1080</v>
      </c>
      <c r="Q19" s="133">
        <v>1600</v>
      </c>
      <c r="R19" s="132">
        <v>0</v>
      </c>
      <c r="S19" s="134">
        <v>20</v>
      </c>
      <c r="T19" s="133">
        <v>460</v>
      </c>
      <c r="U19" s="132">
        <v>0</v>
      </c>
      <c r="V19" s="134">
        <v>980</v>
      </c>
      <c r="W19" s="133">
        <v>1600</v>
      </c>
      <c r="X19" s="132">
        <v>0</v>
      </c>
      <c r="Y19" s="134">
        <v>470</v>
      </c>
      <c r="Z19" s="133">
        <v>810</v>
      </c>
      <c r="AA19" s="132">
        <v>0</v>
      </c>
      <c r="AB19" s="134">
        <v>270</v>
      </c>
      <c r="AC19" s="133">
        <v>500</v>
      </c>
      <c r="AD19" s="132">
        <v>0</v>
      </c>
      <c r="AE19" s="134">
        <v>170</v>
      </c>
      <c r="AF19" s="133">
        <v>1500</v>
      </c>
      <c r="AG19" s="225">
        <v>0</v>
      </c>
      <c r="AH19" s="231">
        <f>+Janvier!AJ19</f>
        <v>309.43681318681325</v>
      </c>
      <c r="AI19" s="231">
        <f>+Janvier!AK19</f>
        <v>962.69230769230785</v>
      </c>
      <c r="AJ19" s="231">
        <f>+Janvier!AL19</f>
        <v>722.01923076923083</v>
      </c>
      <c r="AK19" s="231">
        <f>+Janvier!AM19</f>
        <v>722.01923076923083</v>
      </c>
      <c r="AL19" s="231">
        <f>+Janvier!AN19</f>
        <v>437.5874125874127</v>
      </c>
      <c r="AM19" s="231">
        <f>+Janvier!AO19</f>
        <v>270.75721153846155</v>
      </c>
      <c r="AN19" s="231">
        <f>+Janvier!AP19</f>
        <v>541.51442307692309</v>
      </c>
      <c r="AO19" s="231">
        <f>+Janvier!AQ19</f>
        <v>270.75721153846155</v>
      </c>
      <c r="AP19" s="231">
        <f>+Janvier!AR19</f>
        <v>270.75721153846155</v>
      </c>
      <c r="AQ19" s="231">
        <f>+Janvier!AS19</f>
        <v>481.34615384615392</v>
      </c>
      <c r="AR19" s="16">
        <f t="shared" si="20"/>
        <v>3</v>
      </c>
      <c r="AS19" s="16">
        <f t="shared" si="21"/>
        <v>0</v>
      </c>
      <c r="AT19" s="16">
        <f t="shared" si="22"/>
        <v>2</v>
      </c>
      <c r="AU19" s="16">
        <f t="shared" si="23"/>
        <v>7</v>
      </c>
      <c r="AV19" s="16">
        <f t="shared" si="24"/>
        <v>18</v>
      </c>
      <c r="AW19" s="16">
        <f t="shared" si="25"/>
        <v>8</v>
      </c>
      <c r="AX19" s="16">
        <f t="shared" si="26"/>
        <v>15</v>
      </c>
      <c r="AY19" s="16">
        <f t="shared" si="27"/>
        <v>15</v>
      </c>
      <c r="AZ19" s="16">
        <f t="shared" si="28"/>
        <v>9</v>
      </c>
      <c r="BA19" s="17">
        <f t="shared" si="29"/>
        <v>16</v>
      </c>
    </row>
    <row r="20" spans="1:53" ht="15" thickBot="1" x14ac:dyDescent="0.35">
      <c r="A20" s="121" t="s">
        <v>62</v>
      </c>
      <c r="B20" s="156">
        <v>43891</v>
      </c>
      <c r="C20" s="244">
        <v>43921</v>
      </c>
      <c r="D20" s="159">
        <v>500</v>
      </c>
      <c r="E20" s="158">
        <v>80</v>
      </c>
      <c r="F20" s="177">
        <v>0</v>
      </c>
      <c r="G20" s="248">
        <v>1500</v>
      </c>
      <c r="H20" s="179">
        <v>240</v>
      </c>
      <c r="I20" s="180">
        <v>0</v>
      </c>
      <c r="J20" s="159">
        <v>1000</v>
      </c>
      <c r="K20" s="158">
        <v>500</v>
      </c>
      <c r="L20" s="157">
        <v>0</v>
      </c>
      <c r="M20" s="159">
        <v>1000</v>
      </c>
      <c r="N20" s="158">
        <v>704</v>
      </c>
      <c r="O20" s="157">
        <v>0</v>
      </c>
      <c r="P20" s="159">
        <v>600</v>
      </c>
      <c r="Q20" s="158">
        <v>250</v>
      </c>
      <c r="R20" s="157">
        <v>0</v>
      </c>
      <c r="S20" s="159">
        <v>300</v>
      </c>
      <c r="T20" s="158">
        <v>50</v>
      </c>
      <c r="U20" s="157">
        <v>0</v>
      </c>
      <c r="V20" s="159">
        <v>500</v>
      </c>
      <c r="W20" s="158">
        <v>760</v>
      </c>
      <c r="X20" s="157">
        <v>0</v>
      </c>
      <c r="Y20" s="159">
        <v>500</v>
      </c>
      <c r="Z20" s="158">
        <v>40</v>
      </c>
      <c r="AA20" s="157">
        <v>0</v>
      </c>
      <c r="AB20" s="159">
        <v>100</v>
      </c>
      <c r="AC20" s="158">
        <v>40</v>
      </c>
      <c r="AD20" s="157">
        <v>0</v>
      </c>
      <c r="AE20" s="159">
        <v>500</v>
      </c>
      <c r="AF20" s="158">
        <v>270</v>
      </c>
      <c r="AG20" s="226">
        <v>0</v>
      </c>
      <c r="AH20" s="231">
        <f>+Janvier!AJ20</f>
        <v>485.2335164835165</v>
      </c>
      <c r="AI20" s="231">
        <f>+Janvier!AK20</f>
        <v>1509.6153846153845</v>
      </c>
      <c r="AJ20" s="231">
        <f>+Janvier!AL20</f>
        <v>1132.2115384615383</v>
      </c>
      <c r="AK20" s="231">
        <f>+Janvier!AM20</f>
        <v>1132.2115384615383</v>
      </c>
      <c r="AL20" s="231">
        <f>+Janvier!AN20</f>
        <v>686.1888111888112</v>
      </c>
      <c r="AM20" s="231">
        <f>+Janvier!AO20</f>
        <v>424.57932692307691</v>
      </c>
      <c r="AN20" s="231">
        <f>+Janvier!AP20</f>
        <v>849.15865384615381</v>
      </c>
      <c r="AO20" s="231">
        <f>+Janvier!AQ20</f>
        <v>424.57932692307691</v>
      </c>
      <c r="AP20" s="231">
        <f>+Janvier!AR20</f>
        <v>424.57932692307691</v>
      </c>
      <c r="AQ20" s="231">
        <f>+Janvier!AS20</f>
        <v>754.80769230769226</v>
      </c>
      <c r="AR20" s="32">
        <f t="shared" si="20"/>
        <v>1</v>
      </c>
      <c r="AS20" s="32">
        <f t="shared" si="21"/>
        <v>1</v>
      </c>
      <c r="AT20" s="32">
        <f t="shared" si="22"/>
        <v>2</v>
      </c>
      <c r="AU20" s="32">
        <f t="shared" si="23"/>
        <v>3</v>
      </c>
      <c r="AV20" s="32">
        <f t="shared" si="24"/>
        <v>2</v>
      </c>
      <c r="AW20" s="32">
        <f t="shared" si="25"/>
        <v>1</v>
      </c>
      <c r="AX20" s="32">
        <f t="shared" si="26"/>
        <v>4</v>
      </c>
      <c r="AY20" s="32">
        <f t="shared" si="27"/>
        <v>0</v>
      </c>
      <c r="AZ20" s="32">
        <f t="shared" si="28"/>
        <v>0</v>
      </c>
      <c r="BA20" s="33">
        <f t="shared" si="29"/>
        <v>2</v>
      </c>
    </row>
    <row r="21" spans="1:53" x14ac:dyDescent="0.3">
      <c r="A21" s="140" t="s">
        <v>91</v>
      </c>
      <c r="B21" s="160">
        <v>43891</v>
      </c>
      <c r="C21" s="160">
        <v>43924</v>
      </c>
      <c r="D21" s="252">
        <v>0</v>
      </c>
      <c r="E21" s="149">
        <v>19120</v>
      </c>
      <c r="F21" s="150">
        <v>0</v>
      </c>
      <c r="G21" s="125">
        <v>0</v>
      </c>
      <c r="H21" s="123">
        <v>73200</v>
      </c>
      <c r="I21" s="126">
        <v>0</v>
      </c>
      <c r="J21" s="125">
        <v>0</v>
      </c>
      <c r="K21" s="123">
        <v>56770</v>
      </c>
      <c r="L21" s="124">
        <v>0</v>
      </c>
      <c r="M21" s="125">
        <v>0</v>
      </c>
      <c r="N21" s="123">
        <v>53444</v>
      </c>
      <c r="O21" s="124">
        <v>0</v>
      </c>
      <c r="P21" s="125">
        <v>0</v>
      </c>
      <c r="Q21" s="123">
        <v>34280</v>
      </c>
      <c r="R21" s="124">
        <v>0</v>
      </c>
      <c r="S21" s="125">
        <v>23700</v>
      </c>
      <c r="T21" s="123">
        <v>19970</v>
      </c>
      <c r="U21" s="124">
        <v>0</v>
      </c>
      <c r="V21" s="125">
        <v>0</v>
      </c>
      <c r="W21" s="123">
        <v>60050</v>
      </c>
      <c r="X21" s="124">
        <v>0</v>
      </c>
      <c r="Y21" s="125">
        <v>0</v>
      </c>
      <c r="Z21" s="114">
        <v>12100</v>
      </c>
      <c r="AA21" s="115">
        <v>0</v>
      </c>
      <c r="AB21" s="113">
        <v>31800</v>
      </c>
      <c r="AC21" s="123">
        <v>23060</v>
      </c>
      <c r="AD21" s="124">
        <v>0</v>
      </c>
      <c r="AE21" s="125">
        <v>0</v>
      </c>
      <c r="AF21" s="123">
        <v>52020</v>
      </c>
      <c r="AG21" s="126">
        <v>0</v>
      </c>
      <c r="AH21" s="231">
        <f>+Janvier!AJ21</f>
        <v>46732.578750000001</v>
      </c>
      <c r="AI21" s="231">
        <f>+Janvier!AK21</f>
        <v>160746.05769230769</v>
      </c>
      <c r="AJ21" s="231">
        <f>+Janvier!AL21</f>
        <v>107056.87442307695</v>
      </c>
      <c r="AK21" s="231">
        <f>+Janvier!AM21</f>
        <v>107056.87442307695</v>
      </c>
      <c r="AL21" s="231">
        <f>+Janvier!AN21</f>
        <v>67513.344230769231</v>
      </c>
      <c r="AM21" s="231">
        <f>+Janvier!AO21</f>
        <v>40186.514423076922</v>
      </c>
      <c r="AN21" s="231">
        <f>+Janvier!AP21</f>
        <v>80373.028846153844</v>
      </c>
      <c r="AO21" s="231">
        <f>+Janvier!AQ21</f>
        <v>40186.514423076922</v>
      </c>
      <c r="AP21" s="231">
        <f>+Janvier!AR21</f>
        <v>40186.514423076922</v>
      </c>
      <c r="AQ21" s="231">
        <f>+Janvier!AS21</f>
        <v>72549.877500000002</v>
      </c>
      <c r="AR21" s="90">
        <f>ROUND(E21/(AH21/15),0)</f>
        <v>6</v>
      </c>
      <c r="AS21" s="90">
        <f t="shared" ref="AS21" si="30">ROUND(H21/(AI21/15),0)</f>
        <v>7</v>
      </c>
      <c r="AT21" s="90">
        <f t="shared" ref="AT21" si="31">ROUND(K21/(AJ21/15),0)</f>
        <v>8</v>
      </c>
      <c r="AU21" s="90">
        <f t="shared" ref="AU21" si="32">ROUND(N21/(AK21/15),0)</f>
        <v>7</v>
      </c>
      <c r="AV21" s="90">
        <f t="shared" ref="AV21" si="33">ROUND(Q21/(AL21/15),0)</f>
        <v>8</v>
      </c>
      <c r="AW21" s="90">
        <f t="shared" ref="AW21" si="34">ROUND(T21/(AM21/15),0)</f>
        <v>7</v>
      </c>
      <c r="AX21" s="90">
        <f t="shared" ref="AX21" si="35">ROUND(W21/(AN21/15),0)</f>
        <v>11</v>
      </c>
      <c r="AY21" s="90">
        <f t="shared" ref="AY21" si="36">ROUND(Z21/(AO21/15),0)</f>
        <v>5</v>
      </c>
      <c r="AZ21" s="90">
        <f t="shared" ref="AZ21" si="37">ROUND(AC21/(AP21/15),0)</f>
        <v>9</v>
      </c>
      <c r="BA21" s="91">
        <f t="shared" ref="BA21" si="38">ROUND(AF21/(AQ21/15),0)</f>
        <v>11</v>
      </c>
    </row>
    <row r="22" spans="1:53" x14ac:dyDescent="0.3">
      <c r="A22" s="184" t="s">
        <v>14</v>
      </c>
      <c r="B22" s="94">
        <v>43891</v>
      </c>
      <c r="C22" s="94">
        <v>43924</v>
      </c>
      <c r="D22" s="104">
        <v>2980</v>
      </c>
      <c r="E22" s="96">
        <v>2160</v>
      </c>
      <c r="F22" s="97">
        <v>0</v>
      </c>
      <c r="G22" s="95">
        <v>4100</v>
      </c>
      <c r="H22" s="96">
        <v>6160</v>
      </c>
      <c r="I22" s="105">
        <v>0</v>
      </c>
      <c r="J22" s="95">
        <v>6710</v>
      </c>
      <c r="K22" s="96">
        <v>4620</v>
      </c>
      <c r="L22" s="97">
        <v>0</v>
      </c>
      <c r="M22" s="95">
        <v>5842</v>
      </c>
      <c r="N22" s="96">
        <v>4620</v>
      </c>
      <c r="O22" s="97">
        <v>0</v>
      </c>
      <c r="P22" s="95">
        <v>3767</v>
      </c>
      <c r="Q22" s="96">
        <v>2962</v>
      </c>
      <c r="R22" s="97">
        <v>0</v>
      </c>
      <c r="S22" s="95">
        <v>1830</v>
      </c>
      <c r="T22" s="96">
        <v>1540</v>
      </c>
      <c r="U22" s="97">
        <v>0</v>
      </c>
      <c r="V22" s="95">
        <v>3200</v>
      </c>
      <c r="W22" s="96">
        <v>3670</v>
      </c>
      <c r="X22" s="97">
        <v>0</v>
      </c>
      <c r="Y22" s="95"/>
      <c r="Z22" s="96">
        <v>1840</v>
      </c>
      <c r="AA22" s="100">
        <v>0</v>
      </c>
      <c r="AB22" s="95">
        <v>2660</v>
      </c>
      <c r="AC22" s="96">
        <v>1840</v>
      </c>
      <c r="AD22" s="97">
        <v>0</v>
      </c>
      <c r="AE22" s="95">
        <v>2300</v>
      </c>
      <c r="AF22" s="96">
        <v>3250</v>
      </c>
      <c r="AG22" s="105">
        <v>0</v>
      </c>
      <c r="AH22" s="231">
        <f>+Janvier!AJ22</f>
        <v>1770.3296703296703</v>
      </c>
      <c r="AI22" s="231">
        <f>+Janvier!AK22</f>
        <v>5507.6923076923067</v>
      </c>
      <c r="AJ22" s="231">
        <f>+Janvier!AL22</f>
        <v>4130.7692307692305</v>
      </c>
      <c r="AK22" s="231">
        <f>+Janvier!AM22</f>
        <v>4130.7692307692305</v>
      </c>
      <c r="AL22" s="231">
        <f>+Janvier!AN22</f>
        <v>2503.4965034965039</v>
      </c>
      <c r="AM22" s="231">
        <f>+Janvier!AO22</f>
        <v>1549.0384615384617</v>
      </c>
      <c r="AN22" s="231">
        <f>+Janvier!AP22</f>
        <v>3098.0769230769233</v>
      </c>
      <c r="AO22" s="231">
        <f>+Janvier!AQ22</f>
        <v>1549.0384615384617</v>
      </c>
      <c r="AP22" s="231">
        <f>+Janvier!AR22</f>
        <v>1549.0384615384617</v>
      </c>
      <c r="AQ22" s="231">
        <f>+Janvier!AS22</f>
        <v>2753.8461538461534</v>
      </c>
      <c r="AR22" s="90">
        <f t="shared" ref="AR22:AR29" si="39">ROUND(E22/(AH22/5),0)</f>
        <v>6</v>
      </c>
      <c r="AS22" s="90">
        <f t="shared" ref="AS22:AS29" si="40">ROUND(H22/(AI22/5),0)</f>
        <v>6</v>
      </c>
      <c r="AT22" s="90">
        <f t="shared" ref="AT22:AT29" si="41">ROUND(K22/(AJ22/5),0)</f>
        <v>6</v>
      </c>
      <c r="AU22" s="90">
        <f t="shared" ref="AU22:AU29" si="42">ROUND(N22/(AK22/5),0)</f>
        <v>6</v>
      </c>
      <c r="AV22" s="90">
        <f t="shared" ref="AV22:AV29" si="43">ROUND(Q22/(AL22/5),0)</f>
        <v>6</v>
      </c>
      <c r="AW22" s="90">
        <f t="shared" ref="AW22:AW29" si="44">ROUND(T22/(AM22/5),0)</f>
        <v>5</v>
      </c>
      <c r="AX22" s="90">
        <f t="shared" ref="AX22" si="45">ROUND(W22/(AN22/5),0)</f>
        <v>6</v>
      </c>
      <c r="AY22" s="90">
        <f t="shared" ref="AY22:AY29" si="46">ROUND(Z22/(AO22/5),0)</f>
        <v>6</v>
      </c>
      <c r="AZ22" s="90">
        <f t="shared" ref="AZ22:AZ29" si="47">ROUND(AC22/(AP22/5),0)</f>
        <v>6</v>
      </c>
      <c r="BA22" s="91">
        <f t="shared" ref="BA22:BA29" si="48">ROUND(AF22/(AQ22/5),0)</f>
        <v>6</v>
      </c>
    </row>
    <row r="23" spans="1:53" x14ac:dyDescent="0.3">
      <c r="A23" s="184" t="s">
        <v>15</v>
      </c>
      <c r="B23" s="94">
        <v>43891</v>
      </c>
      <c r="C23" s="94">
        <v>43924</v>
      </c>
      <c r="D23" s="104">
        <v>760</v>
      </c>
      <c r="E23" s="96">
        <v>200</v>
      </c>
      <c r="F23" s="97">
        <v>0</v>
      </c>
      <c r="G23" s="95">
        <v>1480</v>
      </c>
      <c r="H23" s="96">
        <v>820</v>
      </c>
      <c r="I23" s="105">
        <v>0</v>
      </c>
      <c r="J23" s="95">
        <v>1600</v>
      </c>
      <c r="K23" s="96">
        <v>610</v>
      </c>
      <c r="L23" s="97">
        <v>0</v>
      </c>
      <c r="M23" s="95">
        <v>1532</v>
      </c>
      <c r="N23" s="96">
        <v>224</v>
      </c>
      <c r="O23" s="97">
        <v>0</v>
      </c>
      <c r="P23" s="95">
        <v>1000</v>
      </c>
      <c r="Q23" s="96">
        <v>300</v>
      </c>
      <c r="R23" s="97">
        <v>0</v>
      </c>
      <c r="S23" s="95">
        <v>340</v>
      </c>
      <c r="T23" s="96">
        <v>200</v>
      </c>
      <c r="U23" s="97">
        <v>0</v>
      </c>
      <c r="V23" s="95">
        <v>840</v>
      </c>
      <c r="W23" s="96">
        <v>290</v>
      </c>
      <c r="X23" s="97">
        <v>0</v>
      </c>
      <c r="Y23" s="95">
        <v>580</v>
      </c>
      <c r="Z23" s="96">
        <v>120</v>
      </c>
      <c r="AA23" s="100">
        <v>0</v>
      </c>
      <c r="AB23" s="95">
        <v>590</v>
      </c>
      <c r="AC23" s="96">
        <v>150</v>
      </c>
      <c r="AD23" s="97">
        <v>0</v>
      </c>
      <c r="AE23" s="95">
        <v>960</v>
      </c>
      <c r="AF23" s="96">
        <v>380</v>
      </c>
      <c r="AG23" s="105">
        <v>0</v>
      </c>
      <c r="AH23" s="231">
        <f>+Janvier!AJ23</f>
        <v>768.21428571428578</v>
      </c>
      <c r="AI23" s="231">
        <f>+Janvier!AK23</f>
        <v>2390.0000000000005</v>
      </c>
      <c r="AJ23" s="231">
        <f>+Janvier!AL23</f>
        <v>1792.5000000000002</v>
      </c>
      <c r="AK23" s="231">
        <f>+Janvier!AM23</f>
        <v>1792.5000000000002</v>
      </c>
      <c r="AL23" s="231">
        <f>+Janvier!AN23</f>
        <v>1086.3636363636365</v>
      </c>
      <c r="AM23" s="231">
        <f>+Janvier!AO23</f>
        <v>672.1875</v>
      </c>
      <c r="AN23" s="231">
        <f>+Janvier!AP23</f>
        <v>1344.375</v>
      </c>
      <c r="AO23" s="231">
        <f>+Janvier!AQ23</f>
        <v>672.1875</v>
      </c>
      <c r="AP23" s="231">
        <f>+Janvier!AR23</f>
        <v>672.1875</v>
      </c>
      <c r="AQ23" s="231">
        <f>+Janvier!AS23</f>
        <v>1195.0000000000002</v>
      </c>
      <c r="AR23" s="90">
        <f t="shared" si="39"/>
        <v>1</v>
      </c>
      <c r="AS23" s="90">
        <f t="shared" si="40"/>
        <v>2</v>
      </c>
      <c r="AT23" s="90">
        <f t="shared" si="41"/>
        <v>2</v>
      </c>
      <c r="AU23" s="90">
        <f t="shared" si="42"/>
        <v>1</v>
      </c>
      <c r="AV23" s="90">
        <f t="shared" si="43"/>
        <v>1</v>
      </c>
      <c r="AW23" s="90">
        <f t="shared" si="44"/>
        <v>1</v>
      </c>
      <c r="AX23" s="90">
        <f>ROUND(W23/(AN23/5),0)</f>
        <v>1</v>
      </c>
      <c r="AY23" s="90">
        <f t="shared" si="46"/>
        <v>1</v>
      </c>
      <c r="AZ23" s="90">
        <f t="shared" si="47"/>
        <v>1</v>
      </c>
      <c r="BA23" s="91">
        <f t="shared" si="48"/>
        <v>2</v>
      </c>
    </row>
    <row r="24" spans="1:53" ht="14.25" customHeight="1" x14ac:dyDescent="0.3">
      <c r="A24" s="184" t="s">
        <v>16</v>
      </c>
      <c r="B24" s="94">
        <v>43891</v>
      </c>
      <c r="C24" s="94">
        <v>43924</v>
      </c>
      <c r="D24" s="104">
        <v>2880</v>
      </c>
      <c r="E24" s="96">
        <v>2800</v>
      </c>
      <c r="F24" s="97">
        <v>0</v>
      </c>
      <c r="G24" s="95">
        <v>8160</v>
      </c>
      <c r="H24" s="96">
        <v>8960</v>
      </c>
      <c r="I24" s="105">
        <v>0</v>
      </c>
      <c r="J24" s="95">
        <v>3520</v>
      </c>
      <c r="K24" s="96">
        <v>6640</v>
      </c>
      <c r="L24" s="97">
        <v>0</v>
      </c>
      <c r="M24" s="95">
        <v>5796</v>
      </c>
      <c r="N24" s="96">
        <v>6640</v>
      </c>
      <c r="O24" s="97">
        <v>0</v>
      </c>
      <c r="P24" s="95">
        <v>2389</v>
      </c>
      <c r="Q24" s="96">
        <v>4250</v>
      </c>
      <c r="R24" s="97">
        <v>0</v>
      </c>
      <c r="S24" s="95">
        <v>1310</v>
      </c>
      <c r="T24" s="96">
        <v>2220</v>
      </c>
      <c r="U24" s="97">
        <v>0</v>
      </c>
      <c r="V24" s="95">
        <v>3480</v>
      </c>
      <c r="W24" s="96">
        <v>5270</v>
      </c>
      <c r="X24" s="97">
        <v>0</v>
      </c>
      <c r="Y24" s="95">
        <v>2210</v>
      </c>
      <c r="Z24" s="96">
        <v>2640</v>
      </c>
      <c r="AA24" s="100">
        <v>0</v>
      </c>
      <c r="AB24" s="95">
        <v>1000</v>
      </c>
      <c r="AC24" s="96">
        <v>2640</v>
      </c>
      <c r="AD24" s="97">
        <v>0</v>
      </c>
      <c r="AE24" s="95">
        <v>3070</v>
      </c>
      <c r="AF24" s="96">
        <v>5530</v>
      </c>
      <c r="AG24" s="105">
        <v>0</v>
      </c>
      <c r="AH24" s="231">
        <f>+Janvier!AJ24</f>
        <v>3452.1428571428573</v>
      </c>
      <c r="AI24" s="231">
        <f>+Janvier!AK24</f>
        <v>10740.000000000002</v>
      </c>
      <c r="AJ24" s="231">
        <f>+Janvier!AL24</f>
        <v>8055</v>
      </c>
      <c r="AK24" s="231">
        <f>+Janvier!AM24</f>
        <v>8055</v>
      </c>
      <c r="AL24" s="231">
        <f>+Janvier!AN24</f>
        <v>4881.818181818182</v>
      </c>
      <c r="AM24" s="231">
        <f>+Janvier!AO24</f>
        <v>3020.6250000000005</v>
      </c>
      <c r="AN24" s="231">
        <f>+Janvier!AP24</f>
        <v>6041.2500000000009</v>
      </c>
      <c r="AO24" s="231">
        <f>+Janvier!AQ24</f>
        <v>3020.6250000000005</v>
      </c>
      <c r="AP24" s="231">
        <f>+Janvier!AR24</f>
        <v>3020.6250000000005</v>
      </c>
      <c r="AQ24" s="231">
        <f>+Janvier!AS24</f>
        <v>5370.0000000000009</v>
      </c>
      <c r="AR24" s="90">
        <f t="shared" si="39"/>
        <v>4</v>
      </c>
      <c r="AS24" s="90">
        <f t="shared" si="40"/>
        <v>4</v>
      </c>
      <c r="AT24" s="90">
        <f t="shared" si="41"/>
        <v>4</v>
      </c>
      <c r="AU24" s="90">
        <f t="shared" si="42"/>
        <v>4</v>
      </c>
      <c r="AV24" s="90">
        <f t="shared" si="43"/>
        <v>4</v>
      </c>
      <c r="AW24" s="90">
        <f>ROUND(T24/(AM24/5),0)</f>
        <v>4</v>
      </c>
      <c r="AX24" s="90">
        <f t="shared" ref="AX24:AX29" si="49">ROUND(W24/(AN24/5),0)</f>
        <v>4</v>
      </c>
      <c r="AY24" s="90">
        <f t="shared" si="46"/>
        <v>4</v>
      </c>
      <c r="AZ24" s="90">
        <f t="shared" si="47"/>
        <v>4</v>
      </c>
      <c r="BA24" s="91">
        <f t="shared" si="48"/>
        <v>5</v>
      </c>
    </row>
    <row r="25" spans="1:53" ht="14.25" customHeight="1" x14ac:dyDescent="0.3">
      <c r="A25" s="184" t="s">
        <v>17</v>
      </c>
      <c r="B25" s="94">
        <v>43891</v>
      </c>
      <c r="C25" s="94">
        <v>43924</v>
      </c>
      <c r="D25" s="104">
        <v>0</v>
      </c>
      <c r="E25" s="96">
        <v>3720</v>
      </c>
      <c r="F25" s="97">
        <v>0</v>
      </c>
      <c r="G25" s="95">
        <v>0</v>
      </c>
      <c r="H25" s="96">
        <v>11700</v>
      </c>
      <c r="I25" s="105">
        <v>0</v>
      </c>
      <c r="J25" s="95">
        <v>0</v>
      </c>
      <c r="K25" s="96">
        <v>8770</v>
      </c>
      <c r="L25" s="97">
        <v>0</v>
      </c>
      <c r="M25" s="95">
        <v>0</v>
      </c>
      <c r="N25" s="96">
        <v>8722</v>
      </c>
      <c r="O25" s="97">
        <v>0</v>
      </c>
      <c r="P25" s="95">
        <v>0</v>
      </c>
      <c r="Q25" s="96">
        <v>5620</v>
      </c>
      <c r="R25" s="97">
        <v>0</v>
      </c>
      <c r="S25" s="95">
        <v>0</v>
      </c>
      <c r="T25" s="96">
        <v>2930</v>
      </c>
      <c r="U25" s="97">
        <v>0</v>
      </c>
      <c r="V25" s="95">
        <v>0</v>
      </c>
      <c r="W25" s="96">
        <v>6290</v>
      </c>
      <c r="X25" s="97">
        <v>0</v>
      </c>
      <c r="Y25" s="95">
        <v>0</v>
      </c>
      <c r="Z25" s="96">
        <v>3490</v>
      </c>
      <c r="AA25" s="100">
        <v>0</v>
      </c>
      <c r="AB25" s="95">
        <v>0</v>
      </c>
      <c r="AC25" s="96">
        <v>3490</v>
      </c>
      <c r="AD25" s="97">
        <v>0</v>
      </c>
      <c r="AE25" s="95">
        <v>0</v>
      </c>
      <c r="AF25" s="96">
        <v>7320</v>
      </c>
      <c r="AG25" s="105">
        <v>0</v>
      </c>
      <c r="AH25" s="231">
        <f>+Janvier!AJ25</f>
        <v>3638.3241758241757</v>
      </c>
      <c r="AI25" s="231">
        <f>+Janvier!AK25</f>
        <v>11319.23076923077</v>
      </c>
      <c r="AJ25" s="231">
        <f>+Janvier!AL25</f>
        <v>8489.423076923078</v>
      </c>
      <c r="AK25" s="231">
        <f>+Janvier!AM25</f>
        <v>8489.423076923078</v>
      </c>
      <c r="AL25" s="231">
        <f>+Janvier!AN25</f>
        <v>5145.1048951048951</v>
      </c>
      <c r="AM25" s="231">
        <f>+Janvier!AO25</f>
        <v>3183.5336538461534</v>
      </c>
      <c r="AN25" s="231">
        <f>+Janvier!AP25</f>
        <v>6367.0673076923067</v>
      </c>
      <c r="AO25" s="231">
        <f>+Janvier!AQ25</f>
        <v>3183.5336538461534</v>
      </c>
      <c r="AP25" s="231">
        <f>+Janvier!AR25</f>
        <v>3183.5336538461534</v>
      </c>
      <c r="AQ25" s="231">
        <f>+Janvier!AS25</f>
        <v>5659.6153846153848</v>
      </c>
      <c r="AR25" s="90">
        <f t="shared" si="39"/>
        <v>5</v>
      </c>
      <c r="AS25" s="90">
        <f t="shared" si="40"/>
        <v>5</v>
      </c>
      <c r="AT25" s="90">
        <f t="shared" si="41"/>
        <v>5</v>
      </c>
      <c r="AU25" s="90">
        <f t="shared" si="42"/>
        <v>5</v>
      </c>
      <c r="AV25" s="90">
        <f>ROUND(Q25/(AL25/5),0)</f>
        <v>5</v>
      </c>
      <c r="AW25" s="90">
        <f t="shared" si="44"/>
        <v>5</v>
      </c>
      <c r="AX25" s="90">
        <f t="shared" si="49"/>
        <v>5</v>
      </c>
      <c r="AY25" s="90">
        <f t="shared" si="46"/>
        <v>5</v>
      </c>
      <c r="AZ25" s="90">
        <f t="shared" si="47"/>
        <v>5</v>
      </c>
      <c r="BA25" s="91">
        <f t="shared" si="48"/>
        <v>6</v>
      </c>
    </row>
    <row r="26" spans="1:53" ht="14.25" customHeight="1" x14ac:dyDescent="0.3">
      <c r="A26" s="184" t="s">
        <v>18</v>
      </c>
      <c r="B26" s="94">
        <v>43891</v>
      </c>
      <c r="C26" s="94">
        <v>43924</v>
      </c>
      <c r="D26" s="104">
        <v>400</v>
      </c>
      <c r="E26" s="96">
        <v>720</v>
      </c>
      <c r="F26" s="97">
        <v>0</v>
      </c>
      <c r="G26" s="95">
        <v>2100</v>
      </c>
      <c r="H26" s="96">
        <v>2620</v>
      </c>
      <c r="I26" s="105">
        <v>0</v>
      </c>
      <c r="J26" s="95">
        <v>1640</v>
      </c>
      <c r="K26" s="96">
        <v>1120</v>
      </c>
      <c r="L26" s="97">
        <v>0</v>
      </c>
      <c r="M26" s="95">
        <v>1668</v>
      </c>
      <c r="N26" s="96">
        <v>1932</v>
      </c>
      <c r="O26" s="97">
        <v>0</v>
      </c>
      <c r="P26" s="95">
        <v>836</v>
      </c>
      <c r="Q26" s="96">
        <v>1159</v>
      </c>
      <c r="R26" s="97">
        <v>0</v>
      </c>
      <c r="S26" s="95">
        <v>500</v>
      </c>
      <c r="T26" s="96">
        <v>410</v>
      </c>
      <c r="U26" s="97">
        <v>0</v>
      </c>
      <c r="V26" s="95">
        <v>910</v>
      </c>
      <c r="W26" s="96">
        <v>1310</v>
      </c>
      <c r="X26" s="97">
        <v>0</v>
      </c>
      <c r="Y26" s="95">
        <v>650</v>
      </c>
      <c r="Z26" s="96">
        <v>760</v>
      </c>
      <c r="AA26" s="100">
        <v>0</v>
      </c>
      <c r="AB26" s="95">
        <v>660</v>
      </c>
      <c r="AC26" s="96">
        <v>470</v>
      </c>
      <c r="AD26" s="97">
        <v>0</v>
      </c>
      <c r="AE26" s="95">
        <v>720</v>
      </c>
      <c r="AF26" s="96">
        <v>1180</v>
      </c>
      <c r="AG26" s="105">
        <v>0</v>
      </c>
      <c r="AH26" s="231">
        <f>+Janvier!AJ26</f>
        <v>723.70879120879124</v>
      </c>
      <c r="AI26" s="231">
        <f>+Janvier!AK26</f>
        <v>2251.5384615384619</v>
      </c>
      <c r="AJ26" s="231">
        <f>+Janvier!AL26</f>
        <v>1688.6538461538464</v>
      </c>
      <c r="AK26" s="231">
        <f>+Janvier!AM26</f>
        <v>1688.6538461538464</v>
      </c>
      <c r="AL26" s="231">
        <f>+Janvier!AN26</f>
        <v>1023.4265734265737</v>
      </c>
      <c r="AM26" s="231">
        <f>+Janvier!AO26</f>
        <v>633.24519230769238</v>
      </c>
      <c r="AN26" s="231">
        <f>+Janvier!AP26</f>
        <v>1266.4903846153848</v>
      </c>
      <c r="AO26" s="231">
        <f>+Janvier!AQ26</f>
        <v>633.24519230769238</v>
      </c>
      <c r="AP26" s="231">
        <f>+Janvier!AR26</f>
        <v>633.24519230769238</v>
      </c>
      <c r="AQ26" s="231">
        <f>+Janvier!AS26</f>
        <v>1125.7692307692309</v>
      </c>
      <c r="AR26" s="90">
        <f t="shared" si="39"/>
        <v>5</v>
      </c>
      <c r="AS26" s="90">
        <f t="shared" si="40"/>
        <v>6</v>
      </c>
      <c r="AT26" s="90">
        <f t="shared" si="41"/>
        <v>3</v>
      </c>
      <c r="AU26" s="90">
        <f t="shared" si="42"/>
        <v>6</v>
      </c>
      <c r="AV26" s="90">
        <f t="shared" si="43"/>
        <v>6</v>
      </c>
      <c r="AW26" s="90">
        <f t="shared" si="44"/>
        <v>3</v>
      </c>
      <c r="AX26" s="90">
        <f t="shared" si="49"/>
        <v>5</v>
      </c>
      <c r="AY26" s="90">
        <f t="shared" si="46"/>
        <v>6</v>
      </c>
      <c r="AZ26" s="90">
        <f t="shared" si="47"/>
        <v>4</v>
      </c>
      <c r="BA26" s="91">
        <f t="shared" si="48"/>
        <v>5</v>
      </c>
    </row>
    <row r="27" spans="1:53" ht="14.25" customHeight="1" x14ac:dyDescent="0.3">
      <c r="A27" s="184" t="s">
        <v>19</v>
      </c>
      <c r="B27" s="94">
        <v>43891</v>
      </c>
      <c r="C27" s="94">
        <v>43924</v>
      </c>
      <c r="D27" s="104">
        <v>1760</v>
      </c>
      <c r="E27" s="96">
        <v>1220</v>
      </c>
      <c r="F27" s="97">
        <v>0</v>
      </c>
      <c r="G27" s="95">
        <v>4880</v>
      </c>
      <c r="H27" s="96">
        <v>3980</v>
      </c>
      <c r="I27" s="105">
        <v>0</v>
      </c>
      <c r="J27" s="95">
        <v>3900</v>
      </c>
      <c r="K27" s="96">
        <v>2790</v>
      </c>
      <c r="L27" s="97">
        <v>0</v>
      </c>
      <c r="M27" s="95">
        <v>4138</v>
      </c>
      <c r="N27" s="96">
        <v>2808</v>
      </c>
      <c r="O27" s="97">
        <v>0</v>
      </c>
      <c r="P27" s="95">
        <v>2274</v>
      </c>
      <c r="Q27" s="96">
        <v>1304</v>
      </c>
      <c r="R27" s="97">
        <v>0</v>
      </c>
      <c r="S27" s="95">
        <v>1300</v>
      </c>
      <c r="T27" s="96">
        <v>870</v>
      </c>
      <c r="U27" s="97">
        <v>0</v>
      </c>
      <c r="V27" s="95">
        <v>2200</v>
      </c>
      <c r="W27" s="96">
        <v>2580</v>
      </c>
      <c r="X27" s="97">
        <v>0</v>
      </c>
      <c r="Y27" s="95">
        <v>1060</v>
      </c>
      <c r="Z27" s="96">
        <v>1100</v>
      </c>
      <c r="AA27" s="100">
        <v>0</v>
      </c>
      <c r="AB27" s="95">
        <v>1410</v>
      </c>
      <c r="AC27" s="96">
        <v>1090</v>
      </c>
      <c r="AD27" s="97">
        <v>0</v>
      </c>
      <c r="AE27" s="95">
        <v>2630</v>
      </c>
      <c r="AF27" s="96">
        <v>2080</v>
      </c>
      <c r="AG27" s="105">
        <v>0</v>
      </c>
      <c r="AH27" s="231">
        <f>+Janvier!AJ27</f>
        <v>1833.75</v>
      </c>
      <c r="AI27" s="231">
        <f>+Janvier!AK27</f>
        <v>5705.0000000000009</v>
      </c>
      <c r="AJ27" s="231">
        <f>+Janvier!AL27</f>
        <v>4278.7500000000009</v>
      </c>
      <c r="AK27" s="231">
        <f>+Janvier!AM27</f>
        <v>4278.7500000000009</v>
      </c>
      <c r="AL27" s="231">
        <f>+Janvier!AN27</f>
        <v>2593.1818181818189</v>
      </c>
      <c r="AM27" s="231">
        <f>+Janvier!AO27</f>
        <v>1604.53125</v>
      </c>
      <c r="AN27" s="231">
        <f>+Janvier!AP27</f>
        <v>3209.0625</v>
      </c>
      <c r="AO27" s="231">
        <f>+Janvier!AQ27</f>
        <v>1604.53125</v>
      </c>
      <c r="AP27" s="231">
        <f>+Janvier!AR27</f>
        <v>1604.53125</v>
      </c>
      <c r="AQ27" s="231">
        <f>+Janvier!AS27</f>
        <v>2852.5000000000005</v>
      </c>
      <c r="AR27" s="90">
        <f t="shared" si="39"/>
        <v>3</v>
      </c>
      <c r="AS27" s="90">
        <f t="shared" si="40"/>
        <v>3</v>
      </c>
      <c r="AT27" s="90">
        <f t="shared" si="41"/>
        <v>3</v>
      </c>
      <c r="AU27" s="90">
        <f t="shared" si="42"/>
        <v>3</v>
      </c>
      <c r="AV27" s="90">
        <f t="shared" si="43"/>
        <v>3</v>
      </c>
      <c r="AW27" s="90">
        <f t="shared" si="44"/>
        <v>3</v>
      </c>
      <c r="AX27" s="90">
        <f t="shared" si="49"/>
        <v>4</v>
      </c>
      <c r="AY27" s="90">
        <f t="shared" si="46"/>
        <v>3</v>
      </c>
      <c r="AZ27" s="90">
        <f t="shared" si="47"/>
        <v>3</v>
      </c>
      <c r="BA27" s="91">
        <f t="shared" si="48"/>
        <v>4</v>
      </c>
    </row>
    <row r="28" spans="1:53" ht="14.25" customHeight="1" x14ac:dyDescent="0.3">
      <c r="A28" s="184" t="s">
        <v>20</v>
      </c>
      <c r="B28" s="94">
        <v>43891</v>
      </c>
      <c r="C28" s="94">
        <v>43924</v>
      </c>
      <c r="D28" s="104">
        <v>0</v>
      </c>
      <c r="E28" s="96">
        <v>300</v>
      </c>
      <c r="F28" s="97">
        <v>0</v>
      </c>
      <c r="G28" s="95">
        <v>0</v>
      </c>
      <c r="H28" s="96">
        <v>1340</v>
      </c>
      <c r="I28" s="105">
        <v>0</v>
      </c>
      <c r="J28" s="95">
        <v>0</v>
      </c>
      <c r="K28" s="96">
        <v>1080</v>
      </c>
      <c r="L28" s="97">
        <v>0</v>
      </c>
      <c r="M28" s="95">
        <v>0</v>
      </c>
      <c r="N28" s="96">
        <v>584</v>
      </c>
      <c r="O28" s="97"/>
      <c r="P28" s="95">
        <v>0</v>
      </c>
      <c r="Q28" s="96">
        <v>631</v>
      </c>
      <c r="R28" s="97"/>
      <c r="S28" s="95">
        <v>0</v>
      </c>
      <c r="T28" s="96">
        <v>260</v>
      </c>
      <c r="U28" s="97">
        <v>0</v>
      </c>
      <c r="V28" s="95">
        <v>0</v>
      </c>
      <c r="W28" s="96">
        <v>990</v>
      </c>
      <c r="X28" s="97">
        <v>0</v>
      </c>
      <c r="Y28" s="95">
        <v>0</v>
      </c>
      <c r="Z28" s="96">
        <v>410</v>
      </c>
      <c r="AA28" s="100">
        <v>0</v>
      </c>
      <c r="AB28" s="95">
        <v>0</v>
      </c>
      <c r="AC28" s="96">
        <v>300</v>
      </c>
      <c r="AD28" s="97">
        <v>0</v>
      </c>
      <c r="AE28" s="95">
        <v>0</v>
      </c>
      <c r="AF28" s="96">
        <v>1270</v>
      </c>
      <c r="AG28" s="105">
        <v>0</v>
      </c>
      <c r="AH28" s="231">
        <f>+Janvier!AJ28</f>
        <v>1230.2060439560439</v>
      </c>
      <c r="AI28" s="231">
        <f>+Janvier!AK28</f>
        <v>3827.3076923076924</v>
      </c>
      <c r="AJ28" s="231">
        <f>+Janvier!AL28</f>
        <v>2870.4807692307691</v>
      </c>
      <c r="AK28" s="231">
        <f>+Janvier!AM28</f>
        <v>2870.4807692307691</v>
      </c>
      <c r="AL28" s="231">
        <f>+Janvier!AN28</f>
        <v>1739.6853146853146</v>
      </c>
      <c r="AM28" s="231">
        <f>+Janvier!AO28</f>
        <v>1076.4302884615383</v>
      </c>
      <c r="AN28" s="231">
        <f>+Janvier!AP28</f>
        <v>2152.8605769230767</v>
      </c>
      <c r="AO28" s="231">
        <f>+Janvier!AQ28</f>
        <v>1076.4302884615383</v>
      </c>
      <c r="AP28" s="231">
        <f>+Janvier!AR28</f>
        <v>1076.4302884615383</v>
      </c>
      <c r="AQ28" s="231">
        <f>+Janvier!AS28</f>
        <v>1913.6538461538462</v>
      </c>
      <c r="AR28" s="90">
        <f t="shared" si="39"/>
        <v>1</v>
      </c>
      <c r="AS28" s="90">
        <f t="shared" si="40"/>
        <v>2</v>
      </c>
      <c r="AT28" s="90">
        <f t="shared" si="41"/>
        <v>2</v>
      </c>
      <c r="AU28" s="90">
        <f t="shared" si="42"/>
        <v>1</v>
      </c>
      <c r="AV28" s="90">
        <f t="shared" si="43"/>
        <v>2</v>
      </c>
      <c r="AW28" s="90">
        <f t="shared" si="44"/>
        <v>1</v>
      </c>
      <c r="AX28" s="90">
        <f t="shared" si="49"/>
        <v>2</v>
      </c>
      <c r="AY28" s="90">
        <f t="shared" si="46"/>
        <v>2</v>
      </c>
      <c r="AZ28" s="90">
        <f t="shared" si="47"/>
        <v>1</v>
      </c>
      <c r="BA28" s="91">
        <f t="shared" si="48"/>
        <v>3</v>
      </c>
    </row>
    <row r="29" spans="1:53" ht="15" thickBot="1" x14ac:dyDescent="0.35">
      <c r="A29" s="121" t="s">
        <v>79</v>
      </c>
      <c r="B29" s="143">
        <v>43891</v>
      </c>
      <c r="C29" s="143">
        <v>43924</v>
      </c>
      <c r="D29" s="161">
        <v>2200</v>
      </c>
      <c r="E29" s="109">
        <v>2200</v>
      </c>
      <c r="F29" s="110">
        <v>3</v>
      </c>
      <c r="G29" s="111">
        <v>6080</v>
      </c>
      <c r="H29" s="109">
        <v>6600</v>
      </c>
      <c r="I29" s="112">
        <v>0</v>
      </c>
      <c r="J29" s="111">
        <v>4940</v>
      </c>
      <c r="K29" s="109">
        <v>4940</v>
      </c>
      <c r="L29" s="110">
        <v>3</v>
      </c>
      <c r="M29" s="111">
        <v>4896</v>
      </c>
      <c r="N29" s="109">
        <v>4940</v>
      </c>
      <c r="O29" s="110">
        <v>0</v>
      </c>
      <c r="P29" s="111">
        <v>2940</v>
      </c>
      <c r="Q29" s="109">
        <v>3173</v>
      </c>
      <c r="R29" s="110">
        <v>0</v>
      </c>
      <c r="S29" s="111">
        <v>1050</v>
      </c>
      <c r="T29" s="109">
        <v>1650</v>
      </c>
      <c r="U29" s="110">
        <v>0</v>
      </c>
      <c r="V29" s="111">
        <v>2630</v>
      </c>
      <c r="W29" s="109">
        <v>3930</v>
      </c>
      <c r="X29" s="110">
        <v>0</v>
      </c>
      <c r="Y29" s="111">
        <v>1750</v>
      </c>
      <c r="Z29" s="109">
        <v>1970</v>
      </c>
      <c r="AA29" s="162">
        <v>0</v>
      </c>
      <c r="AB29" s="111">
        <v>1800</v>
      </c>
      <c r="AC29" s="109">
        <v>1970</v>
      </c>
      <c r="AD29" s="110">
        <v>0</v>
      </c>
      <c r="AE29" s="111">
        <v>2710</v>
      </c>
      <c r="AF29" s="109">
        <v>3400</v>
      </c>
      <c r="AG29" s="112">
        <v>0</v>
      </c>
      <c r="AH29" s="231">
        <f>+Janvier!AJ29</f>
        <v>1892.3489010989013</v>
      </c>
      <c r="AI29" s="231">
        <f>+Janvier!AK29</f>
        <v>5887.3076923076933</v>
      </c>
      <c r="AJ29" s="231">
        <f>+Janvier!AL29</f>
        <v>4415.4807692307704</v>
      </c>
      <c r="AK29" s="231">
        <f>+Janvier!AM29</f>
        <v>4415.4807692307704</v>
      </c>
      <c r="AL29" s="231">
        <f>+Janvier!AN29</f>
        <v>2676.0489510489515</v>
      </c>
      <c r="AM29" s="231">
        <f>+Janvier!AO29</f>
        <v>1655.8052884615383</v>
      </c>
      <c r="AN29" s="231">
        <f>+Janvier!AP29</f>
        <v>3311.6105769230767</v>
      </c>
      <c r="AO29" s="231">
        <f>+Janvier!AQ29</f>
        <v>1655.8052884615383</v>
      </c>
      <c r="AP29" s="231">
        <f>+Janvier!AR29</f>
        <v>1655.8052884615383</v>
      </c>
      <c r="AQ29" s="231">
        <f>+Janvier!AS29</f>
        <v>2943.6538461538466</v>
      </c>
      <c r="AR29" s="92">
        <f t="shared" si="39"/>
        <v>6</v>
      </c>
      <c r="AS29" s="92">
        <f t="shared" si="40"/>
        <v>6</v>
      </c>
      <c r="AT29" s="92">
        <f t="shared" si="41"/>
        <v>6</v>
      </c>
      <c r="AU29" s="92">
        <f t="shared" si="42"/>
        <v>6</v>
      </c>
      <c r="AV29" s="92">
        <f t="shared" si="43"/>
        <v>6</v>
      </c>
      <c r="AW29" s="92">
        <f t="shared" si="44"/>
        <v>5</v>
      </c>
      <c r="AX29" s="92">
        <f t="shared" si="49"/>
        <v>6</v>
      </c>
      <c r="AY29" s="92">
        <f t="shared" si="46"/>
        <v>6</v>
      </c>
      <c r="AZ29" s="92">
        <f t="shared" si="47"/>
        <v>6</v>
      </c>
      <c r="BA29" s="93">
        <f t="shared" si="48"/>
        <v>6</v>
      </c>
    </row>
    <row r="30" spans="1:53" ht="15" thickBot="1" x14ac:dyDescent="0.35">
      <c r="A30" s="140" t="s">
        <v>84</v>
      </c>
      <c r="B30" s="160" t="s">
        <v>143</v>
      </c>
      <c r="C30" s="160">
        <v>43921</v>
      </c>
      <c r="D30" s="163">
        <v>0</v>
      </c>
      <c r="E30" s="163">
        <v>30600</v>
      </c>
      <c r="F30" s="124">
        <v>0</v>
      </c>
      <c r="G30" s="254">
        <v>0</v>
      </c>
      <c r="H30" s="163">
        <v>155380</v>
      </c>
      <c r="I30" s="124">
        <v>0</v>
      </c>
      <c r="J30" s="253">
        <v>0</v>
      </c>
      <c r="K30" s="163">
        <v>110800</v>
      </c>
      <c r="L30" s="124">
        <v>0</v>
      </c>
      <c r="M30" s="163">
        <v>0</v>
      </c>
      <c r="N30" s="163">
        <v>112200</v>
      </c>
      <c r="O30" s="124">
        <v>0</v>
      </c>
      <c r="P30" s="163">
        <v>0</v>
      </c>
      <c r="Q30" s="163">
        <v>73200</v>
      </c>
      <c r="R30" s="124">
        <v>0</v>
      </c>
      <c r="S30" s="163">
        <v>0</v>
      </c>
      <c r="T30" s="163">
        <v>55400</v>
      </c>
      <c r="U30" s="124">
        <v>0</v>
      </c>
      <c r="V30" s="163">
        <v>0</v>
      </c>
      <c r="W30" s="163">
        <v>104300</v>
      </c>
      <c r="X30" s="124">
        <v>0</v>
      </c>
      <c r="Y30" s="163">
        <v>0</v>
      </c>
      <c r="Z30" s="163">
        <v>7000</v>
      </c>
      <c r="AA30" s="115">
        <v>0</v>
      </c>
      <c r="AB30" s="163">
        <v>0</v>
      </c>
      <c r="AC30" s="163">
        <v>0</v>
      </c>
      <c r="AD30" s="124">
        <v>18</v>
      </c>
      <c r="AE30" s="163">
        <v>0</v>
      </c>
      <c r="AF30" s="163">
        <v>89600</v>
      </c>
      <c r="AG30" s="126">
        <v>0</v>
      </c>
      <c r="AH30" s="231">
        <f>+Janvier!AJ30</f>
        <v>84811.691250000003</v>
      </c>
      <c r="AI30" s="231">
        <f>+Janvier!AK30</f>
        <v>294602.45192307694</v>
      </c>
      <c r="AJ30" s="231">
        <f>+Janvier!AL30</f>
        <v>196205.23298076927</v>
      </c>
      <c r="AK30" s="231">
        <f>+Janvier!AM30</f>
        <v>196205.23298076927</v>
      </c>
      <c r="AL30" s="231">
        <f>+Janvier!AN30</f>
        <v>123733.02980769234</v>
      </c>
      <c r="AM30" s="231">
        <f>+Janvier!AO30</f>
        <v>73650.612980769234</v>
      </c>
      <c r="AN30" s="231">
        <f>+Janvier!AP30</f>
        <v>147301.22596153847</v>
      </c>
      <c r="AO30" s="231">
        <f>+Janvier!AQ30</f>
        <v>73650.612980769234</v>
      </c>
      <c r="AP30" s="231">
        <f>+Janvier!AR30</f>
        <v>73650.612980769234</v>
      </c>
      <c r="AQ30" s="231">
        <f>+Janvier!AS30</f>
        <v>131665.70250000001</v>
      </c>
      <c r="AR30" s="90">
        <f>ROUND(E30/(AH30/15),0)</f>
        <v>5</v>
      </c>
      <c r="AS30" s="90">
        <f t="shared" ref="AS30" si="50">ROUND(H30/(AI30/15),0)</f>
        <v>8</v>
      </c>
      <c r="AT30" s="90">
        <f t="shared" ref="AT30" si="51">ROUND(K30/(AJ30/15),0)</f>
        <v>8</v>
      </c>
      <c r="AU30" s="90">
        <f t="shared" ref="AU30" si="52">ROUND(N30/(AK30/15),0)</f>
        <v>9</v>
      </c>
      <c r="AV30" s="90">
        <f t="shared" ref="AV30" si="53">ROUND(Q30/(AL30/15),0)</f>
        <v>9</v>
      </c>
      <c r="AW30" s="90">
        <f t="shared" ref="AW30" si="54">ROUND(T30/(AM30/15),0)</f>
        <v>11</v>
      </c>
      <c r="AX30" s="90">
        <f t="shared" ref="AX30" si="55">ROUND(W30/(AN30/15),0)</f>
        <v>11</v>
      </c>
      <c r="AY30" s="90">
        <f t="shared" ref="AY30" si="56">ROUND(Z30/(AO30/15),0)</f>
        <v>1</v>
      </c>
      <c r="AZ30" s="90">
        <f t="shared" ref="AZ30" si="57">ROUND(AC30/(AP30/15),0)</f>
        <v>0</v>
      </c>
      <c r="BA30" s="91">
        <f t="shared" ref="BA30" si="58">ROUND(AF30/(AQ30/15),0)</f>
        <v>10</v>
      </c>
    </row>
    <row r="31" spans="1:53" ht="15" thickBot="1" x14ac:dyDescent="0.35">
      <c r="A31" s="184" t="s">
        <v>35</v>
      </c>
      <c r="B31" s="160" t="s">
        <v>143</v>
      </c>
      <c r="C31" s="94">
        <v>43921</v>
      </c>
      <c r="D31" s="106">
        <v>2860</v>
      </c>
      <c r="E31" s="106">
        <v>1440</v>
      </c>
      <c r="F31" s="97">
        <v>0</v>
      </c>
      <c r="G31" s="116">
        <v>7720</v>
      </c>
      <c r="H31" s="106">
        <v>2960</v>
      </c>
      <c r="I31" s="97">
        <v>0</v>
      </c>
      <c r="J31" s="236">
        <v>5280</v>
      </c>
      <c r="K31" s="106">
        <v>1160</v>
      </c>
      <c r="L31" s="97">
        <v>0</v>
      </c>
      <c r="M31" s="106">
        <v>5356</v>
      </c>
      <c r="N31" s="106">
        <v>1352</v>
      </c>
      <c r="O31" s="97">
        <v>0</v>
      </c>
      <c r="P31" s="106">
        <v>3406</v>
      </c>
      <c r="Q31" s="106">
        <v>756</v>
      </c>
      <c r="R31" s="97">
        <v>0</v>
      </c>
      <c r="S31" s="106">
        <v>1980</v>
      </c>
      <c r="T31" s="106">
        <v>670</v>
      </c>
      <c r="U31" s="97">
        <v>0</v>
      </c>
      <c r="V31" s="106">
        <v>4080</v>
      </c>
      <c r="W31" s="106">
        <v>1900</v>
      </c>
      <c r="X31" s="97">
        <v>0</v>
      </c>
      <c r="Y31" s="106">
        <v>2220</v>
      </c>
      <c r="Z31" s="106">
        <v>1270</v>
      </c>
      <c r="AA31" s="100">
        <v>0</v>
      </c>
      <c r="AB31" s="106">
        <v>2050</v>
      </c>
      <c r="AC31" s="106">
        <v>790</v>
      </c>
      <c r="AD31" s="97">
        <v>0</v>
      </c>
      <c r="AE31" s="106">
        <v>4030</v>
      </c>
      <c r="AF31" s="106">
        <v>2320</v>
      </c>
      <c r="AG31" s="105">
        <v>0</v>
      </c>
      <c r="AH31" s="231">
        <f>+Janvier!AJ31</f>
        <v>2028.8324175824175</v>
      </c>
      <c r="AI31" s="231">
        <f>+Janvier!AK31</f>
        <v>6311.9230769230771</v>
      </c>
      <c r="AJ31" s="231">
        <f>+Janvier!AL31</f>
        <v>4733.9423076923076</v>
      </c>
      <c r="AK31" s="231">
        <f>+Janvier!AM31</f>
        <v>4733.9423076923076</v>
      </c>
      <c r="AL31" s="231">
        <f>+Janvier!AN31</f>
        <v>2869.0559440559441</v>
      </c>
      <c r="AM31" s="231">
        <f>+Janvier!AO31</f>
        <v>1775.2283653846155</v>
      </c>
      <c r="AN31" s="231">
        <f>+Janvier!AP31</f>
        <v>3550.4567307692309</v>
      </c>
      <c r="AO31" s="231">
        <f>+Janvier!AQ31</f>
        <v>1775.2283653846155</v>
      </c>
      <c r="AP31" s="231">
        <f>+Janvier!AR31</f>
        <v>1775.2283653846155</v>
      </c>
      <c r="AQ31" s="231">
        <f>+Janvier!AS31</f>
        <v>3155.9615384615386</v>
      </c>
      <c r="AR31" s="16">
        <f t="shared" ref="AR31:AR39" si="59">ROUND(E31/(AH31/5),0)</f>
        <v>4</v>
      </c>
      <c r="AS31" s="16">
        <f t="shared" ref="AS31:AS39" si="60">ROUND(H31/(AI31/5),0)</f>
        <v>2</v>
      </c>
      <c r="AT31" s="16">
        <f t="shared" ref="AT31:AT39" si="61">ROUND(K31/(AJ31/5),0)</f>
        <v>1</v>
      </c>
      <c r="AU31" s="16">
        <f t="shared" ref="AU31:AU39" si="62">ROUND(N31/(AK31/5),0)</f>
        <v>1</v>
      </c>
      <c r="AV31" s="16">
        <f t="shared" ref="AV31:AV39" si="63">ROUND(Q31/(AL31/5),0)</f>
        <v>1</v>
      </c>
      <c r="AW31" s="16">
        <f t="shared" ref="AW31:AW39" si="64">ROUND(T31/(AM31/5),0)</f>
        <v>2</v>
      </c>
      <c r="AX31" s="16">
        <f t="shared" ref="AX31:AX39" si="65">ROUND(W31/(AN31/5),0)</f>
        <v>3</v>
      </c>
      <c r="AY31" s="16">
        <f t="shared" ref="AY31:AY39" si="66">ROUND(Z31/(AO31/5),0)</f>
        <v>4</v>
      </c>
      <c r="AZ31" s="16">
        <f t="shared" ref="AZ31:AZ39" si="67">ROUND(AC31/(AP31/5),0)</f>
        <v>2</v>
      </c>
      <c r="BA31" s="17">
        <f t="shared" ref="BA31:BA39" si="68">ROUND(AF31/(AQ31/5),0)</f>
        <v>4</v>
      </c>
    </row>
    <row r="32" spans="1:53" ht="15" thickBot="1" x14ac:dyDescent="0.35">
      <c r="A32" s="184" t="s">
        <v>36</v>
      </c>
      <c r="B32" s="160" t="s">
        <v>143</v>
      </c>
      <c r="C32" s="94">
        <v>43921</v>
      </c>
      <c r="D32" s="106">
        <v>560</v>
      </c>
      <c r="E32" s="96">
        <v>0</v>
      </c>
      <c r="F32" s="97">
        <v>7</v>
      </c>
      <c r="G32" s="116">
        <v>1200</v>
      </c>
      <c r="H32" s="96">
        <v>40</v>
      </c>
      <c r="I32" s="97">
        <v>0</v>
      </c>
      <c r="J32" s="236">
        <v>1140</v>
      </c>
      <c r="K32" s="96">
        <v>30</v>
      </c>
      <c r="L32" s="97">
        <v>0</v>
      </c>
      <c r="M32" s="106">
        <v>1096</v>
      </c>
      <c r="N32" s="96">
        <v>56</v>
      </c>
      <c r="O32" s="97">
        <v>0</v>
      </c>
      <c r="P32" s="106">
        <v>632</v>
      </c>
      <c r="Q32" s="96">
        <v>632</v>
      </c>
      <c r="R32" s="97">
        <v>0</v>
      </c>
      <c r="S32" s="106">
        <v>410</v>
      </c>
      <c r="T32" s="96">
        <v>90</v>
      </c>
      <c r="U32" s="97">
        <v>0</v>
      </c>
      <c r="V32" s="106">
        <v>500</v>
      </c>
      <c r="W32" s="96">
        <v>180</v>
      </c>
      <c r="X32" s="97">
        <v>0</v>
      </c>
      <c r="Y32" s="106">
        <v>620</v>
      </c>
      <c r="Z32" s="96">
        <v>190</v>
      </c>
      <c r="AA32" s="100">
        <v>0</v>
      </c>
      <c r="AB32" s="106">
        <v>600</v>
      </c>
      <c r="AC32" s="96">
        <v>90</v>
      </c>
      <c r="AD32" s="97">
        <v>0</v>
      </c>
      <c r="AE32" s="106">
        <v>550</v>
      </c>
      <c r="AF32" s="96">
        <v>0</v>
      </c>
      <c r="AG32" s="105">
        <v>10</v>
      </c>
      <c r="AH32" s="231">
        <f>+Janvier!AJ32</f>
        <v>431.0851648351649</v>
      </c>
      <c r="AI32" s="231">
        <f>+Janvier!AK32</f>
        <v>1341.1538461538464</v>
      </c>
      <c r="AJ32" s="231">
        <f>+Janvier!AL32</f>
        <v>1005.8653846153848</v>
      </c>
      <c r="AK32" s="231">
        <f>+Janvier!AM32</f>
        <v>1005.8653846153848</v>
      </c>
      <c r="AL32" s="231">
        <f>+Janvier!AN32</f>
        <v>609.61538461538464</v>
      </c>
      <c r="AM32" s="231">
        <f>+Janvier!AO32</f>
        <v>377.19951923076917</v>
      </c>
      <c r="AN32" s="231">
        <f>+Janvier!AP32</f>
        <v>754.39903846153834</v>
      </c>
      <c r="AO32" s="231">
        <f>+Janvier!AQ32</f>
        <v>377.19951923076917</v>
      </c>
      <c r="AP32" s="231">
        <f>+Janvier!AR32</f>
        <v>377.19951923076917</v>
      </c>
      <c r="AQ32" s="231">
        <f>+Janvier!AS32</f>
        <v>670.57692307692321</v>
      </c>
      <c r="AR32" s="16">
        <f t="shared" si="59"/>
        <v>0</v>
      </c>
      <c r="AS32" s="16">
        <f t="shared" si="60"/>
        <v>0</v>
      </c>
      <c r="AT32" s="16">
        <f t="shared" si="61"/>
        <v>0</v>
      </c>
      <c r="AU32" s="16">
        <f t="shared" si="62"/>
        <v>0</v>
      </c>
      <c r="AV32" s="16">
        <f t="shared" si="63"/>
        <v>5</v>
      </c>
      <c r="AW32" s="16">
        <f t="shared" si="64"/>
        <v>1</v>
      </c>
      <c r="AX32" s="16">
        <f t="shared" si="65"/>
        <v>1</v>
      </c>
      <c r="AY32" s="16">
        <f t="shared" si="66"/>
        <v>3</v>
      </c>
      <c r="AZ32" s="16">
        <f t="shared" si="67"/>
        <v>1</v>
      </c>
      <c r="BA32" s="17">
        <f t="shared" si="68"/>
        <v>0</v>
      </c>
    </row>
    <row r="33" spans="1:53" ht="15" thickBot="1" x14ac:dyDescent="0.35">
      <c r="A33" s="184" t="s">
        <v>37</v>
      </c>
      <c r="B33" s="160" t="s">
        <v>143</v>
      </c>
      <c r="C33" s="94">
        <v>43921</v>
      </c>
      <c r="D33" s="106">
        <v>9820</v>
      </c>
      <c r="E33" s="106">
        <v>5640</v>
      </c>
      <c r="F33" s="97">
        <v>0</v>
      </c>
      <c r="G33" s="116">
        <v>28200</v>
      </c>
      <c r="H33" s="106">
        <v>18000</v>
      </c>
      <c r="I33" s="97">
        <v>0</v>
      </c>
      <c r="J33" s="236">
        <v>22480</v>
      </c>
      <c r="K33" s="106">
        <v>13300</v>
      </c>
      <c r="L33" s="97">
        <v>0</v>
      </c>
      <c r="M33" s="106">
        <v>21264</v>
      </c>
      <c r="N33" s="106">
        <v>13400</v>
      </c>
      <c r="O33" s="97">
        <v>0</v>
      </c>
      <c r="P33" s="106">
        <v>13954</v>
      </c>
      <c r="Q33" s="106">
        <v>8500</v>
      </c>
      <c r="R33" s="97">
        <v>0</v>
      </c>
      <c r="S33" s="106">
        <v>7450</v>
      </c>
      <c r="T33" s="106">
        <v>4600</v>
      </c>
      <c r="U33" s="97">
        <v>0</v>
      </c>
      <c r="V33" s="106">
        <v>17000</v>
      </c>
      <c r="W33" s="106">
        <v>9100</v>
      </c>
      <c r="X33" s="97">
        <v>0</v>
      </c>
      <c r="Y33" s="106">
        <v>8970</v>
      </c>
      <c r="Z33" s="106">
        <v>5500</v>
      </c>
      <c r="AA33" s="100">
        <v>0</v>
      </c>
      <c r="AB33" s="106">
        <v>0</v>
      </c>
      <c r="AC33" s="106">
        <v>0</v>
      </c>
      <c r="AD33" s="97">
        <v>30</v>
      </c>
      <c r="AE33" s="106">
        <v>14720</v>
      </c>
      <c r="AF33" s="106">
        <v>9200</v>
      </c>
      <c r="AG33" s="105">
        <v>0</v>
      </c>
      <c r="AH33" s="231">
        <f>+Janvier!AJ33</f>
        <v>5199.2307692307695</v>
      </c>
      <c r="AI33" s="231">
        <f>+Janvier!AK33</f>
        <v>16175.384615384613</v>
      </c>
      <c r="AJ33" s="231">
        <f>+Janvier!AL33</f>
        <v>12131.538461538461</v>
      </c>
      <c r="AK33" s="231">
        <f>+Janvier!AM33</f>
        <v>12131.538461538461</v>
      </c>
      <c r="AL33" s="231">
        <f>+Janvier!AN33</f>
        <v>7352.4475524475547</v>
      </c>
      <c r="AM33" s="231">
        <f>+Janvier!AO33</f>
        <v>4549.3269230769229</v>
      </c>
      <c r="AN33" s="231">
        <f>+Janvier!AP33</f>
        <v>9098.6538461538457</v>
      </c>
      <c r="AO33" s="231">
        <f>+Janvier!AQ33</f>
        <v>4549.3269230769229</v>
      </c>
      <c r="AP33" s="231">
        <f>+Janvier!AR33</f>
        <v>4549.3269230769229</v>
      </c>
      <c r="AQ33" s="231">
        <f>+Janvier!AS33</f>
        <v>8087.6923076923067</v>
      </c>
      <c r="AR33" s="16">
        <f t="shared" si="59"/>
        <v>5</v>
      </c>
      <c r="AS33" s="16">
        <f t="shared" si="60"/>
        <v>6</v>
      </c>
      <c r="AT33" s="16">
        <f t="shared" si="61"/>
        <v>5</v>
      </c>
      <c r="AU33" s="16">
        <f t="shared" si="62"/>
        <v>6</v>
      </c>
      <c r="AV33" s="16">
        <f t="shared" si="63"/>
        <v>6</v>
      </c>
      <c r="AW33" s="16">
        <f t="shared" si="64"/>
        <v>5</v>
      </c>
      <c r="AX33" s="16">
        <f t="shared" si="65"/>
        <v>5</v>
      </c>
      <c r="AY33" s="16">
        <f t="shared" si="66"/>
        <v>6</v>
      </c>
      <c r="AZ33" s="16">
        <f t="shared" si="67"/>
        <v>0</v>
      </c>
      <c r="BA33" s="17">
        <f t="shared" si="68"/>
        <v>6</v>
      </c>
    </row>
    <row r="34" spans="1:53" ht="15" thickBot="1" x14ac:dyDescent="0.35">
      <c r="A34" s="184" t="s">
        <v>38</v>
      </c>
      <c r="B34" s="160" t="s">
        <v>143</v>
      </c>
      <c r="C34" s="94">
        <v>43921</v>
      </c>
      <c r="D34" s="106">
        <v>1140</v>
      </c>
      <c r="E34" s="106">
        <v>900</v>
      </c>
      <c r="F34" s="97">
        <v>0</v>
      </c>
      <c r="G34" s="116">
        <v>4240</v>
      </c>
      <c r="H34" s="106">
        <v>3740</v>
      </c>
      <c r="I34" s="97">
        <v>0</v>
      </c>
      <c r="J34" s="236">
        <v>2900</v>
      </c>
      <c r="K34" s="106">
        <v>2170</v>
      </c>
      <c r="L34" s="97">
        <v>0</v>
      </c>
      <c r="M34" s="106">
        <v>2812</v>
      </c>
      <c r="N34" s="106">
        <v>2076</v>
      </c>
      <c r="O34" s="97">
        <v>0</v>
      </c>
      <c r="P34" s="106">
        <v>1900</v>
      </c>
      <c r="Q34" s="106">
        <v>1150</v>
      </c>
      <c r="R34" s="97">
        <v>0</v>
      </c>
      <c r="S34" s="106">
        <v>1170</v>
      </c>
      <c r="T34" s="106">
        <v>1010</v>
      </c>
      <c r="U34" s="97">
        <v>0</v>
      </c>
      <c r="V34" s="106">
        <v>2130</v>
      </c>
      <c r="W34" s="106">
        <v>1300</v>
      </c>
      <c r="X34" s="97">
        <v>0</v>
      </c>
      <c r="Y34" s="106">
        <v>1100</v>
      </c>
      <c r="Z34" s="106">
        <v>640</v>
      </c>
      <c r="AA34" s="100">
        <v>0</v>
      </c>
      <c r="AB34" s="106">
        <v>1000</v>
      </c>
      <c r="AC34" s="106">
        <v>540</v>
      </c>
      <c r="AD34" s="97">
        <v>0</v>
      </c>
      <c r="AE34" s="106">
        <v>2010</v>
      </c>
      <c r="AF34" s="106">
        <v>1440</v>
      </c>
      <c r="AG34" s="105">
        <v>0</v>
      </c>
      <c r="AH34" s="231">
        <f>+Janvier!AJ34</f>
        <v>1323.9148351648353</v>
      </c>
      <c r="AI34" s="231">
        <f>+Janvier!AK34</f>
        <v>4118.8461538461534</v>
      </c>
      <c r="AJ34" s="231">
        <f>+Janvier!AL34</f>
        <v>3089.1346153846152</v>
      </c>
      <c r="AK34" s="231">
        <f>+Janvier!AM34</f>
        <v>3089.1346153846152</v>
      </c>
      <c r="AL34" s="231">
        <f>+Janvier!AN34</f>
        <v>1872.2027972027972</v>
      </c>
      <c r="AM34" s="231">
        <f>+Janvier!AO34</f>
        <v>1158.4254807692307</v>
      </c>
      <c r="AN34" s="231">
        <f>+Janvier!AP34</f>
        <v>2316.8509615384614</v>
      </c>
      <c r="AO34" s="231">
        <f>+Janvier!AQ34</f>
        <v>1158.4254807692307</v>
      </c>
      <c r="AP34" s="231">
        <f>+Janvier!AR34</f>
        <v>1158.4254807692307</v>
      </c>
      <c r="AQ34" s="231">
        <f>+Janvier!AS34</f>
        <v>2059.4230769230767</v>
      </c>
      <c r="AR34" s="16">
        <f t="shared" si="59"/>
        <v>3</v>
      </c>
      <c r="AS34" s="16">
        <f t="shared" si="60"/>
        <v>5</v>
      </c>
      <c r="AT34" s="16">
        <f t="shared" si="61"/>
        <v>4</v>
      </c>
      <c r="AU34" s="16">
        <f t="shared" si="62"/>
        <v>3</v>
      </c>
      <c r="AV34" s="16">
        <f t="shared" si="63"/>
        <v>3</v>
      </c>
      <c r="AW34" s="16">
        <f t="shared" si="64"/>
        <v>4</v>
      </c>
      <c r="AX34" s="16">
        <f t="shared" si="65"/>
        <v>3</v>
      </c>
      <c r="AY34" s="16">
        <f t="shared" si="66"/>
        <v>3</v>
      </c>
      <c r="AZ34" s="16">
        <f t="shared" si="67"/>
        <v>2</v>
      </c>
      <c r="BA34" s="17">
        <f t="shared" si="68"/>
        <v>3</v>
      </c>
    </row>
    <row r="35" spans="1:53" ht="15" thickBot="1" x14ac:dyDescent="0.35">
      <c r="A35" s="184" t="s">
        <v>39</v>
      </c>
      <c r="B35" s="160" t="s">
        <v>143</v>
      </c>
      <c r="C35" s="94">
        <v>43921</v>
      </c>
      <c r="D35" s="106">
        <v>9480</v>
      </c>
      <c r="E35" s="106">
        <v>4760</v>
      </c>
      <c r="F35" s="97">
        <v>0</v>
      </c>
      <c r="G35" s="116">
        <v>24800</v>
      </c>
      <c r="H35" s="106">
        <v>14220</v>
      </c>
      <c r="I35" s="97">
        <v>0</v>
      </c>
      <c r="J35" s="236">
        <v>18580</v>
      </c>
      <c r="K35" s="106">
        <v>10220</v>
      </c>
      <c r="L35" s="97">
        <v>0</v>
      </c>
      <c r="M35" s="106">
        <v>17444</v>
      </c>
      <c r="N35" s="106">
        <v>9724</v>
      </c>
      <c r="O35" s="97">
        <v>0</v>
      </c>
      <c r="P35" s="106">
        <v>12535</v>
      </c>
      <c r="Q35" s="106">
        <v>7000</v>
      </c>
      <c r="R35" s="97">
        <v>0</v>
      </c>
      <c r="S35" s="106">
        <v>5860</v>
      </c>
      <c r="T35" s="106">
        <v>3640</v>
      </c>
      <c r="U35" s="97">
        <v>0</v>
      </c>
      <c r="V35" s="106">
        <v>14250</v>
      </c>
      <c r="W35" s="106">
        <v>8680</v>
      </c>
      <c r="X35" s="97">
        <v>0</v>
      </c>
      <c r="Y35" s="106">
        <v>6970</v>
      </c>
      <c r="Z35" s="106">
        <v>3250</v>
      </c>
      <c r="AA35" s="100">
        <v>0</v>
      </c>
      <c r="AB35" s="106">
        <v>1500</v>
      </c>
      <c r="AC35" s="106">
        <v>0</v>
      </c>
      <c r="AD35" s="97">
        <v>18</v>
      </c>
      <c r="AE35" s="106">
        <v>12240</v>
      </c>
      <c r="AF35" s="106">
        <v>7680</v>
      </c>
      <c r="AG35" s="105">
        <v>0</v>
      </c>
      <c r="AH35" s="231">
        <f>+Janvier!AJ35</f>
        <v>4319.1346153846152</v>
      </c>
      <c r="AI35" s="231">
        <f>+Janvier!AK35</f>
        <v>13437.307692307693</v>
      </c>
      <c r="AJ35" s="231">
        <f>+Janvier!AL35</f>
        <v>10077.98076923077</v>
      </c>
      <c r="AK35" s="231">
        <f>+Janvier!AM35</f>
        <v>10077.98076923077</v>
      </c>
      <c r="AL35" s="231">
        <f>+Janvier!AN35</f>
        <v>6107.8671328671326</v>
      </c>
      <c r="AM35" s="231">
        <f>+Janvier!AO35</f>
        <v>3779.2427884615386</v>
      </c>
      <c r="AN35" s="231">
        <f>+Janvier!AP35</f>
        <v>7558.4855769230771</v>
      </c>
      <c r="AO35" s="231">
        <f>+Janvier!AQ35</f>
        <v>3779.2427884615386</v>
      </c>
      <c r="AP35" s="231">
        <f>+Janvier!AR35</f>
        <v>3779.2427884615386</v>
      </c>
      <c r="AQ35" s="231">
        <f>+Janvier!AS35</f>
        <v>6718.6538461538466</v>
      </c>
      <c r="AR35" s="16">
        <f t="shared" si="59"/>
        <v>6</v>
      </c>
      <c r="AS35" s="16">
        <f t="shared" si="60"/>
        <v>5</v>
      </c>
      <c r="AT35" s="16">
        <f t="shared" si="61"/>
        <v>5</v>
      </c>
      <c r="AU35" s="16">
        <f t="shared" si="62"/>
        <v>5</v>
      </c>
      <c r="AV35" s="16">
        <f t="shared" si="63"/>
        <v>6</v>
      </c>
      <c r="AW35" s="16">
        <f t="shared" si="64"/>
        <v>5</v>
      </c>
      <c r="AX35" s="16">
        <f t="shared" si="65"/>
        <v>6</v>
      </c>
      <c r="AY35" s="16">
        <f t="shared" si="66"/>
        <v>4</v>
      </c>
      <c r="AZ35" s="16">
        <f t="shared" si="67"/>
        <v>0</v>
      </c>
      <c r="BA35" s="17">
        <f t="shared" si="68"/>
        <v>6</v>
      </c>
    </row>
    <row r="36" spans="1:53" ht="15" thickBot="1" x14ac:dyDescent="0.35">
      <c r="A36" s="184" t="s">
        <v>40</v>
      </c>
      <c r="B36" s="160" t="s">
        <v>143</v>
      </c>
      <c r="C36" s="94">
        <v>43921</v>
      </c>
      <c r="D36" s="106">
        <v>4460</v>
      </c>
      <c r="E36" s="106">
        <v>2100</v>
      </c>
      <c r="F36" s="97">
        <v>0</v>
      </c>
      <c r="G36" s="116">
        <v>19100</v>
      </c>
      <c r="H36" s="106">
        <v>9620</v>
      </c>
      <c r="I36" s="97">
        <v>0</v>
      </c>
      <c r="J36" s="236">
        <v>12800</v>
      </c>
      <c r="K36" s="106">
        <v>5760</v>
      </c>
      <c r="L36" s="97">
        <v>0</v>
      </c>
      <c r="M36" s="106">
        <v>13336</v>
      </c>
      <c r="N36" s="106">
        <v>6348</v>
      </c>
      <c r="O36" s="97">
        <v>0</v>
      </c>
      <c r="P36" s="106">
        <v>9300</v>
      </c>
      <c r="Q36" s="106">
        <v>4400</v>
      </c>
      <c r="R36" s="97">
        <v>0</v>
      </c>
      <c r="S36" s="106">
        <v>4730</v>
      </c>
      <c r="T36" s="106">
        <v>2420</v>
      </c>
      <c r="U36" s="97">
        <v>0</v>
      </c>
      <c r="V36" s="106">
        <v>11570</v>
      </c>
      <c r="W36" s="106">
        <v>5640</v>
      </c>
      <c r="X36" s="97">
        <v>0</v>
      </c>
      <c r="Y36" s="106">
        <v>5890</v>
      </c>
      <c r="Z36" s="106">
        <v>2760</v>
      </c>
      <c r="AA36" s="100">
        <v>0</v>
      </c>
      <c r="AB36" s="106">
        <v>1580</v>
      </c>
      <c r="AC36" s="106">
        <v>320</v>
      </c>
      <c r="AD36" s="97">
        <v>12</v>
      </c>
      <c r="AE36" s="106">
        <v>8990</v>
      </c>
      <c r="AF36" s="106">
        <v>6150</v>
      </c>
      <c r="AG36" s="105">
        <v>0</v>
      </c>
      <c r="AH36" s="231">
        <f>+Janvier!AJ36</f>
        <v>3701.7445054945065</v>
      </c>
      <c r="AI36" s="231">
        <f>+Janvier!AK36</f>
        <v>11516.538461538461</v>
      </c>
      <c r="AJ36" s="231">
        <f>+Janvier!AL36</f>
        <v>8637.4038461538476</v>
      </c>
      <c r="AK36" s="231">
        <f>+Janvier!AM36</f>
        <v>8637.4038461538476</v>
      </c>
      <c r="AL36" s="231">
        <f>+Janvier!AN36</f>
        <v>5234.7902097902097</v>
      </c>
      <c r="AM36" s="231">
        <f>+Janvier!AO36</f>
        <v>3239.0264423076924</v>
      </c>
      <c r="AN36" s="231">
        <f>+Janvier!AP36</f>
        <v>6478.0528846153848</v>
      </c>
      <c r="AO36" s="231">
        <f>+Janvier!AQ36</f>
        <v>3239.0264423076924</v>
      </c>
      <c r="AP36" s="231">
        <f>+Janvier!AR36</f>
        <v>3239.0264423076924</v>
      </c>
      <c r="AQ36" s="231">
        <f>+Janvier!AS36</f>
        <v>5758.2692307692305</v>
      </c>
      <c r="AR36" s="16">
        <f t="shared" si="59"/>
        <v>3</v>
      </c>
      <c r="AS36" s="16">
        <f t="shared" si="60"/>
        <v>4</v>
      </c>
      <c r="AT36" s="16">
        <f t="shared" si="61"/>
        <v>3</v>
      </c>
      <c r="AU36" s="16">
        <f t="shared" si="62"/>
        <v>4</v>
      </c>
      <c r="AV36" s="16">
        <f t="shared" si="63"/>
        <v>4</v>
      </c>
      <c r="AW36" s="16">
        <f t="shared" si="64"/>
        <v>4</v>
      </c>
      <c r="AX36" s="16">
        <f t="shared" si="65"/>
        <v>4</v>
      </c>
      <c r="AY36" s="16">
        <f t="shared" si="66"/>
        <v>4</v>
      </c>
      <c r="AZ36" s="16">
        <f t="shared" si="67"/>
        <v>0</v>
      </c>
      <c r="BA36" s="17">
        <f t="shared" si="68"/>
        <v>5</v>
      </c>
    </row>
    <row r="37" spans="1:53" ht="15" thickBot="1" x14ac:dyDescent="0.35">
      <c r="A37" s="184" t="s">
        <v>41</v>
      </c>
      <c r="B37" s="160" t="s">
        <v>143</v>
      </c>
      <c r="C37" s="94">
        <v>43921</v>
      </c>
      <c r="D37" s="106">
        <v>5400</v>
      </c>
      <c r="E37" s="106">
        <v>3500</v>
      </c>
      <c r="F37" s="97">
        <v>0</v>
      </c>
      <c r="G37" s="116">
        <v>12500</v>
      </c>
      <c r="H37" s="106">
        <v>7660</v>
      </c>
      <c r="I37" s="97">
        <v>0</v>
      </c>
      <c r="J37" s="236">
        <v>8830</v>
      </c>
      <c r="K37" s="106">
        <v>5000</v>
      </c>
      <c r="L37" s="97">
        <v>0</v>
      </c>
      <c r="M37" s="106">
        <v>7124</v>
      </c>
      <c r="N37" s="106">
        <v>5124</v>
      </c>
      <c r="O37" s="97">
        <v>0</v>
      </c>
      <c r="P37" s="106">
        <v>5450</v>
      </c>
      <c r="Q37" s="106">
        <v>3350</v>
      </c>
      <c r="R37" s="97">
        <v>0</v>
      </c>
      <c r="S37" s="106">
        <v>2740</v>
      </c>
      <c r="T37" s="106">
        <v>1450</v>
      </c>
      <c r="U37" s="97">
        <v>0</v>
      </c>
      <c r="V37" s="106">
        <v>5660</v>
      </c>
      <c r="W37" s="106">
        <v>4420</v>
      </c>
      <c r="X37" s="97">
        <v>0</v>
      </c>
      <c r="Y37" s="106">
        <v>3330</v>
      </c>
      <c r="Z37" s="106">
        <v>2140</v>
      </c>
      <c r="AA37" s="100">
        <v>0</v>
      </c>
      <c r="AB37" s="106">
        <v>0</v>
      </c>
      <c r="AC37" s="106">
        <v>0</v>
      </c>
      <c r="AD37" s="97">
        <v>30</v>
      </c>
      <c r="AE37" s="106">
        <v>5530</v>
      </c>
      <c r="AF37" s="106">
        <v>3830</v>
      </c>
      <c r="AG37" s="105">
        <v>0</v>
      </c>
      <c r="AH37" s="231">
        <f>+Janvier!AJ37</f>
        <v>2204.0109890109893</v>
      </c>
      <c r="AI37" s="231">
        <f>+Janvier!AK37</f>
        <v>6856.9230769230771</v>
      </c>
      <c r="AJ37" s="231">
        <f>+Janvier!AL37</f>
        <v>5142.6923076923085</v>
      </c>
      <c r="AK37" s="231">
        <f>+Janvier!AM37</f>
        <v>5142.6923076923085</v>
      </c>
      <c r="AL37" s="231">
        <f>+Janvier!AN37</f>
        <v>3116.7832167832171</v>
      </c>
      <c r="AM37" s="231">
        <f>+Janvier!AO37</f>
        <v>1928.5096153846155</v>
      </c>
      <c r="AN37" s="231">
        <f>+Janvier!AP37</f>
        <v>3857.0192307692309</v>
      </c>
      <c r="AO37" s="231">
        <f>+Janvier!AQ37</f>
        <v>1928.5096153846155</v>
      </c>
      <c r="AP37" s="231">
        <f>+Janvier!AR37</f>
        <v>1928.5096153846155</v>
      </c>
      <c r="AQ37" s="231">
        <f>+Janvier!AS37</f>
        <v>3428.4615384615386</v>
      </c>
      <c r="AR37" s="16">
        <f t="shared" si="59"/>
        <v>8</v>
      </c>
      <c r="AS37" s="16">
        <f t="shared" si="60"/>
        <v>6</v>
      </c>
      <c r="AT37" s="16">
        <f t="shared" si="61"/>
        <v>5</v>
      </c>
      <c r="AU37" s="16">
        <f t="shared" si="62"/>
        <v>5</v>
      </c>
      <c r="AV37" s="16">
        <f t="shared" si="63"/>
        <v>5</v>
      </c>
      <c r="AW37" s="16">
        <f t="shared" si="64"/>
        <v>4</v>
      </c>
      <c r="AX37" s="16">
        <f t="shared" si="65"/>
        <v>6</v>
      </c>
      <c r="AY37" s="16">
        <f t="shared" si="66"/>
        <v>6</v>
      </c>
      <c r="AZ37" s="16">
        <f t="shared" si="67"/>
        <v>0</v>
      </c>
      <c r="BA37" s="17">
        <f t="shared" si="68"/>
        <v>6</v>
      </c>
    </row>
    <row r="38" spans="1:53" ht="15" thickBot="1" x14ac:dyDescent="0.35">
      <c r="A38" s="184" t="s">
        <v>42</v>
      </c>
      <c r="B38" s="160" t="s">
        <v>143</v>
      </c>
      <c r="C38" s="94">
        <v>43921</v>
      </c>
      <c r="D38" s="106">
        <v>6000</v>
      </c>
      <c r="E38" s="106">
        <v>0</v>
      </c>
      <c r="F38" s="97">
        <v>0</v>
      </c>
      <c r="G38" s="116">
        <v>15160</v>
      </c>
      <c r="H38" s="106">
        <v>4240</v>
      </c>
      <c r="I38" s="97">
        <v>0</v>
      </c>
      <c r="J38" s="236">
        <v>11300</v>
      </c>
      <c r="K38" s="106">
        <v>2690</v>
      </c>
      <c r="L38" s="97">
        <v>0</v>
      </c>
      <c r="M38" s="106">
        <v>11500</v>
      </c>
      <c r="N38" s="106">
        <v>3768</v>
      </c>
      <c r="O38" s="97">
        <v>0</v>
      </c>
      <c r="P38" s="106">
        <v>7700</v>
      </c>
      <c r="Q38" s="106">
        <v>900</v>
      </c>
      <c r="R38" s="97">
        <v>0</v>
      </c>
      <c r="S38" s="106">
        <v>3740</v>
      </c>
      <c r="T38" s="106">
        <v>1180</v>
      </c>
      <c r="U38" s="97">
        <v>0</v>
      </c>
      <c r="V38" s="106">
        <v>9310</v>
      </c>
      <c r="W38" s="106">
        <v>2600</v>
      </c>
      <c r="X38" s="97">
        <v>0</v>
      </c>
      <c r="Y38" s="106">
        <v>4820</v>
      </c>
      <c r="Z38" s="106">
        <v>2970</v>
      </c>
      <c r="AA38" s="100">
        <v>0</v>
      </c>
      <c r="AB38" s="106">
        <v>4500</v>
      </c>
      <c r="AC38" s="106">
        <v>300</v>
      </c>
      <c r="AD38" s="97">
        <v>4</v>
      </c>
      <c r="AE38" s="106">
        <v>7820</v>
      </c>
      <c r="AF38" s="106">
        <v>3980</v>
      </c>
      <c r="AG38" s="105">
        <v>0</v>
      </c>
      <c r="AH38" s="231">
        <f>+Janvier!AJ38</f>
        <v>4595.1923076923076</v>
      </c>
      <c r="AI38" s="231">
        <f>+Janvier!AK38</f>
        <v>14296.153846153846</v>
      </c>
      <c r="AJ38" s="231">
        <f>+Janvier!AL38</f>
        <v>10722.115384615387</v>
      </c>
      <c r="AK38" s="231">
        <f>+Janvier!AM38</f>
        <v>10722.115384615387</v>
      </c>
      <c r="AL38" s="231">
        <f>+Janvier!AN38</f>
        <v>6498.2517482517496</v>
      </c>
      <c r="AM38" s="231">
        <f>+Janvier!AO38</f>
        <v>4020.7932692307691</v>
      </c>
      <c r="AN38" s="231">
        <f>+Janvier!AP38</f>
        <v>8041.5865384615381</v>
      </c>
      <c r="AO38" s="231">
        <f>+Janvier!AQ38</f>
        <v>4020.7932692307691</v>
      </c>
      <c r="AP38" s="231">
        <f>+Janvier!AR38</f>
        <v>4020.7932692307691</v>
      </c>
      <c r="AQ38" s="231">
        <f>+Janvier!AS38</f>
        <v>7148.0769230769229</v>
      </c>
      <c r="AR38" s="16">
        <f t="shared" si="59"/>
        <v>0</v>
      </c>
      <c r="AS38" s="16">
        <f t="shared" si="60"/>
        <v>1</v>
      </c>
      <c r="AT38" s="16">
        <f t="shared" si="61"/>
        <v>1</v>
      </c>
      <c r="AU38" s="16">
        <f t="shared" si="62"/>
        <v>2</v>
      </c>
      <c r="AV38" s="16">
        <f t="shared" si="63"/>
        <v>1</v>
      </c>
      <c r="AW38" s="16">
        <f t="shared" si="64"/>
        <v>1</v>
      </c>
      <c r="AX38" s="16">
        <f t="shared" si="65"/>
        <v>2</v>
      </c>
      <c r="AY38" s="16">
        <f t="shared" si="66"/>
        <v>4</v>
      </c>
      <c r="AZ38" s="16">
        <f t="shared" si="67"/>
        <v>0</v>
      </c>
      <c r="BA38" s="17">
        <f t="shared" si="68"/>
        <v>3</v>
      </c>
    </row>
    <row r="39" spans="1:53" ht="15" thickBot="1" x14ac:dyDescent="0.35">
      <c r="A39" s="121" t="s">
        <v>43</v>
      </c>
      <c r="B39" s="160" t="s">
        <v>143</v>
      </c>
      <c r="C39" s="143">
        <v>43921</v>
      </c>
      <c r="D39" s="145">
        <v>4340</v>
      </c>
      <c r="E39" s="145">
        <v>2900</v>
      </c>
      <c r="F39" s="110">
        <v>0</v>
      </c>
      <c r="G39" s="147">
        <v>13000</v>
      </c>
      <c r="H39" s="145">
        <v>9160</v>
      </c>
      <c r="I39" s="110">
        <v>0</v>
      </c>
      <c r="J39" s="238">
        <v>9800</v>
      </c>
      <c r="K39" s="145">
        <v>6400</v>
      </c>
      <c r="L39" s="110">
        <v>0</v>
      </c>
      <c r="M39" s="145">
        <v>9800</v>
      </c>
      <c r="N39" s="145">
        <v>6564</v>
      </c>
      <c r="O39" s="110">
        <v>0</v>
      </c>
      <c r="P39" s="145">
        <v>6250</v>
      </c>
      <c r="Q39" s="145">
        <v>3900</v>
      </c>
      <c r="R39" s="110">
        <v>0</v>
      </c>
      <c r="S39" s="145">
        <v>3200</v>
      </c>
      <c r="T39" s="145">
        <v>2510</v>
      </c>
      <c r="U39" s="110">
        <v>0</v>
      </c>
      <c r="V39" s="145">
        <v>7500</v>
      </c>
      <c r="W39" s="145">
        <v>7050</v>
      </c>
      <c r="X39" s="110">
        <v>0</v>
      </c>
      <c r="Y39" s="145">
        <v>4000</v>
      </c>
      <c r="Z39" s="145">
        <v>2970</v>
      </c>
      <c r="AA39" s="162">
        <v>0</v>
      </c>
      <c r="AB39" s="145">
        <v>3590</v>
      </c>
      <c r="AC39" s="145">
        <v>1780</v>
      </c>
      <c r="AD39" s="110">
        <v>0</v>
      </c>
      <c r="AE39" s="145">
        <v>6400</v>
      </c>
      <c r="AF39" s="145">
        <v>5920</v>
      </c>
      <c r="AG39" s="112">
        <v>0</v>
      </c>
      <c r="AH39" s="231">
        <f>+Janvier!AJ39</f>
        <v>4254.2307692307695</v>
      </c>
      <c r="AI39" s="231">
        <f>+Janvier!AK39</f>
        <v>13235.384615384613</v>
      </c>
      <c r="AJ39" s="231">
        <f>+Janvier!AL39</f>
        <v>9926.538461538461</v>
      </c>
      <c r="AK39" s="231">
        <f>+Janvier!AM39</f>
        <v>9926.538461538461</v>
      </c>
      <c r="AL39" s="231">
        <f>+Janvier!AN39</f>
        <v>6016.0839160839159</v>
      </c>
      <c r="AM39" s="231">
        <f>+Janvier!AO39</f>
        <v>3722.4519230769233</v>
      </c>
      <c r="AN39" s="231">
        <f>+Janvier!AP39</f>
        <v>7444.9038461538466</v>
      </c>
      <c r="AO39" s="231">
        <f>+Janvier!AQ39</f>
        <v>3722.4519230769233</v>
      </c>
      <c r="AP39" s="231">
        <f>+Janvier!AR39</f>
        <v>3722.4519230769233</v>
      </c>
      <c r="AQ39" s="231">
        <f>+Janvier!AS39</f>
        <v>6617.6923076923067</v>
      </c>
      <c r="AR39" s="32">
        <f t="shared" si="59"/>
        <v>3</v>
      </c>
      <c r="AS39" s="32">
        <f t="shared" si="60"/>
        <v>3</v>
      </c>
      <c r="AT39" s="32">
        <f t="shared" si="61"/>
        <v>3</v>
      </c>
      <c r="AU39" s="32">
        <f t="shared" si="62"/>
        <v>3</v>
      </c>
      <c r="AV39" s="32">
        <f t="shared" si="63"/>
        <v>3</v>
      </c>
      <c r="AW39" s="32">
        <f t="shared" si="64"/>
        <v>3</v>
      </c>
      <c r="AX39" s="32">
        <f t="shared" si="65"/>
        <v>5</v>
      </c>
      <c r="AY39" s="32">
        <f t="shared" si="66"/>
        <v>4</v>
      </c>
      <c r="AZ39" s="32">
        <f t="shared" si="67"/>
        <v>2</v>
      </c>
      <c r="BA39" s="33">
        <f t="shared" si="68"/>
        <v>4</v>
      </c>
    </row>
    <row r="40" spans="1:53" ht="16.2" thickBot="1" x14ac:dyDescent="0.35">
      <c r="A40" s="198" t="s">
        <v>88</v>
      </c>
      <c r="B40" s="160">
        <v>43891</v>
      </c>
      <c r="C40" s="143">
        <v>43921</v>
      </c>
      <c r="D40" s="122">
        <v>0</v>
      </c>
      <c r="E40" s="123">
        <v>58980</v>
      </c>
      <c r="F40" s="124">
        <v>0</v>
      </c>
      <c r="G40" s="125">
        <v>0</v>
      </c>
      <c r="H40" s="123">
        <v>226120</v>
      </c>
      <c r="I40" s="126">
        <v>0</v>
      </c>
      <c r="J40" s="125">
        <v>0</v>
      </c>
      <c r="K40" s="123">
        <v>125960</v>
      </c>
      <c r="L40" s="124">
        <v>4</v>
      </c>
      <c r="M40" s="125">
        <v>0</v>
      </c>
      <c r="N40" s="123">
        <v>140856</v>
      </c>
      <c r="O40" s="124">
        <v>0</v>
      </c>
      <c r="P40" s="125">
        <v>0</v>
      </c>
      <c r="Q40" s="123">
        <v>95181</v>
      </c>
      <c r="R40" s="124">
        <v>0</v>
      </c>
      <c r="S40" s="125">
        <v>0</v>
      </c>
      <c r="T40" s="123">
        <v>50960</v>
      </c>
      <c r="U40" s="124">
        <v>4</v>
      </c>
      <c r="V40" s="125">
        <v>0</v>
      </c>
      <c r="W40" s="123">
        <v>114220</v>
      </c>
      <c r="X40" s="124">
        <v>0</v>
      </c>
      <c r="Y40" s="125">
        <v>0</v>
      </c>
      <c r="Z40" s="123">
        <v>11690</v>
      </c>
      <c r="AA40" s="124">
        <v>4</v>
      </c>
      <c r="AB40" s="96">
        <v>0</v>
      </c>
      <c r="AC40" s="96">
        <v>0</v>
      </c>
      <c r="AD40" s="124">
        <v>4</v>
      </c>
      <c r="AE40" s="125">
        <v>0</v>
      </c>
      <c r="AF40" s="123">
        <v>109420</v>
      </c>
      <c r="AG40" s="126">
        <v>4</v>
      </c>
      <c r="AH40" s="231">
        <f>+Janvier!AJ40</f>
        <v>69601.949999999983</v>
      </c>
      <c r="AI40" s="231">
        <f>+Janvier!AK40</f>
        <v>241304.71153846153</v>
      </c>
      <c r="AJ40" s="231">
        <f>+Janvier!AL40</f>
        <v>160708.93788461541</v>
      </c>
      <c r="AK40" s="231">
        <f>+Janvier!AM40</f>
        <v>160708.93788461541</v>
      </c>
      <c r="AL40" s="231">
        <f>+Janvier!AN40</f>
        <v>101347.97884615386</v>
      </c>
      <c r="AM40" s="231">
        <f>+Janvier!AO40</f>
        <v>60326.177884615383</v>
      </c>
      <c r="AN40" s="231">
        <f>+Janvier!AP40</f>
        <v>120652.35576923077</v>
      </c>
      <c r="AO40" s="231">
        <f>+Janvier!AQ40</f>
        <v>60326.177884615383</v>
      </c>
      <c r="AP40" s="231">
        <f>+Janvier!AR40</f>
        <v>60326.177884615383</v>
      </c>
      <c r="AQ40" s="231">
        <f>+Janvier!AS40</f>
        <v>108053.37692307694</v>
      </c>
      <c r="AR40" s="16">
        <f>ROUND(E40/(AH40/15),0)</f>
        <v>13</v>
      </c>
      <c r="AS40" s="16">
        <f t="shared" ref="AS40" si="69">ROUND(H40/(AI40/15),0)</f>
        <v>14</v>
      </c>
      <c r="AT40" s="16">
        <f t="shared" ref="AT40" si="70">ROUND(K40/(AJ40/15),0)</f>
        <v>12</v>
      </c>
      <c r="AU40" s="16">
        <f t="shared" ref="AU40" si="71">ROUND(N40/(AK40/15),0)</f>
        <v>13</v>
      </c>
      <c r="AV40" s="16">
        <f t="shared" ref="AV40" si="72">ROUND(Q40/(AL40/15),0)</f>
        <v>14</v>
      </c>
      <c r="AW40" s="16">
        <f t="shared" ref="AW40" si="73">ROUND(T40/(AM40/15),0)</f>
        <v>13</v>
      </c>
      <c r="AX40" s="16">
        <f t="shared" ref="AX40" si="74">ROUND(W40/(AN40/15),0)</f>
        <v>14</v>
      </c>
      <c r="AY40" s="16">
        <f t="shared" ref="AY40" si="75">ROUND(Z40/(AO40/15),0)</f>
        <v>3</v>
      </c>
      <c r="AZ40" s="16">
        <f t="shared" ref="AZ40" si="76">ROUND(AC40/(AP40/15),0)</f>
        <v>0</v>
      </c>
      <c r="BA40" s="17">
        <f t="shared" ref="BA40" si="77">ROUND(AF40/(AQ40/15),0)</f>
        <v>15</v>
      </c>
    </row>
    <row r="41" spans="1:53" ht="16.2" thickBot="1" x14ac:dyDescent="0.35">
      <c r="A41" s="199" t="s">
        <v>44</v>
      </c>
      <c r="B41" s="160">
        <v>43889</v>
      </c>
      <c r="C41" s="143">
        <v>43924</v>
      </c>
      <c r="D41" s="107">
        <v>1940</v>
      </c>
      <c r="E41" s="96">
        <v>1980</v>
      </c>
      <c r="F41" s="97">
        <v>0</v>
      </c>
      <c r="G41" s="95">
        <v>5600</v>
      </c>
      <c r="H41" s="96">
        <v>5900</v>
      </c>
      <c r="I41" s="105">
        <v>0</v>
      </c>
      <c r="J41" s="95">
        <v>4300</v>
      </c>
      <c r="K41" s="96">
        <v>4300</v>
      </c>
      <c r="L41" s="97">
        <v>0</v>
      </c>
      <c r="M41" s="95">
        <v>4200</v>
      </c>
      <c r="N41" s="96">
        <v>4300</v>
      </c>
      <c r="O41" s="97">
        <v>0</v>
      </c>
      <c r="P41" s="95">
        <v>2500</v>
      </c>
      <c r="Q41" s="96">
        <v>2674</v>
      </c>
      <c r="R41" s="97">
        <v>0</v>
      </c>
      <c r="S41" s="95">
        <v>1400</v>
      </c>
      <c r="T41" s="96">
        <v>1490</v>
      </c>
      <c r="U41" s="97">
        <v>0</v>
      </c>
      <c r="V41" s="95">
        <v>2900</v>
      </c>
      <c r="W41" s="96">
        <v>3410</v>
      </c>
      <c r="X41" s="97">
        <v>0</v>
      </c>
      <c r="Y41" s="95">
        <v>1000</v>
      </c>
      <c r="Z41" s="96">
        <v>1230</v>
      </c>
      <c r="AA41" s="97">
        <v>0</v>
      </c>
      <c r="AB41" s="96">
        <v>100</v>
      </c>
      <c r="AC41" s="96">
        <v>650</v>
      </c>
      <c r="AD41" s="97">
        <v>0</v>
      </c>
      <c r="AE41" s="95">
        <v>3000</v>
      </c>
      <c r="AF41" s="96">
        <v>3000</v>
      </c>
      <c r="AG41" s="105">
        <v>0</v>
      </c>
      <c r="AH41" s="231">
        <f>+Janvier!AJ41</f>
        <v>1769.7115384615383</v>
      </c>
      <c r="AI41" s="231">
        <f>+Janvier!AK41</f>
        <v>5505.7692307692305</v>
      </c>
      <c r="AJ41" s="231">
        <f>+Janvier!AL41</f>
        <v>4129.3269230769229</v>
      </c>
      <c r="AK41" s="231">
        <f>+Janvier!AM41</f>
        <v>4129.3269230769229</v>
      </c>
      <c r="AL41" s="231">
        <f>+Janvier!AN41</f>
        <v>2502.6223776223778</v>
      </c>
      <c r="AM41" s="231">
        <f>+Janvier!AO41</f>
        <v>1548.4975961538462</v>
      </c>
      <c r="AN41" s="231">
        <f>+Janvier!AP41</f>
        <v>3096.9951923076924</v>
      </c>
      <c r="AO41" s="231">
        <f>+Janvier!AQ41</f>
        <v>1548.4975961538462</v>
      </c>
      <c r="AP41" s="231">
        <f>+Janvier!AR41</f>
        <v>1548.4975961538462</v>
      </c>
      <c r="AQ41" s="231">
        <f>+Janvier!AS41</f>
        <v>2752.8846153846152</v>
      </c>
      <c r="AR41" s="16">
        <f t="shared" ref="AR41:AR53" si="78">ROUND(E41/(AH41/5),0)</f>
        <v>6</v>
      </c>
      <c r="AS41" s="16">
        <f t="shared" ref="AS41:AS53" si="79">ROUND(H41/(AI41/5),0)</f>
        <v>5</v>
      </c>
      <c r="AT41" s="16">
        <f t="shared" ref="AT41:AT53" si="80">ROUND(K41/(AJ41/5),0)</f>
        <v>5</v>
      </c>
      <c r="AU41" s="16">
        <f t="shared" ref="AU41:AU53" si="81">ROUND(N41/(AK41/5),0)</f>
        <v>5</v>
      </c>
      <c r="AV41" s="16">
        <f t="shared" ref="AV41:AV53" si="82">ROUND(Q41/(AL41/5),0)</f>
        <v>5</v>
      </c>
      <c r="AW41" s="16">
        <f t="shared" ref="AW41:AW53" si="83">ROUND(T41/(AM41/5),0)</f>
        <v>5</v>
      </c>
      <c r="AX41" s="16">
        <f t="shared" ref="AX41:AX53" si="84">ROUND(W41/(AN41/5),0)</f>
        <v>6</v>
      </c>
      <c r="AY41" s="16">
        <f t="shared" ref="AY41:AY53" si="85">ROUND(Z41/(AO41/5),0)</f>
        <v>4</v>
      </c>
      <c r="AZ41" s="16">
        <f t="shared" ref="AZ41:AZ53" si="86">ROUND(AC41/(AP41/5),0)</f>
        <v>2</v>
      </c>
      <c r="BA41" s="17">
        <f t="shared" ref="BA41:BA53" si="87">ROUND(AF41/(AQ41/5),0)</f>
        <v>5</v>
      </c>
    </row>
    <row r="42" spans="1:53" ht="16.2" thickBot="1" x14ac:dyDescent="0.35">
      <c r="A42" s="199" t="s">
        <v>45</v>
      </c>
      <c r="B42" s="160">
        <v>43888</v>
      </c>
      <c r="C42" s="143">
        <v>43921</v>
      </c>
      <c r="D42" s="107">
        <v>480</v>
      </c>
      <c r="E42" s="96">
        <v>540</v>
      </c>
      <c r="F42" s="97">
        <v>0</v>
      </c>
      <c r="G42" s="95">
        <v>1470</v>
      </c>
      <c r="H42" s="96">
        <v>1570</v>
      </c>
      <c r="I42" s="105">
        <v>0</v>
      </c>
      <c r="J42" s="95">
        <v>1080</v>
      </c>
      <c r="K42" s="96">
        <v>1080</v>
      </c>
      <c r="L42" s="97">
        <v>0</v>
      </c>
      <c r="M42" s="95">
        <v>1012</v>
      </c>
      <c r="N42" s="96">
        <v>1080</v>
      </c>
      <c r="O42" s="97">
        <v>0</v>
      </c>
      <c r="P42" s="95">
        <v>671</v>
      </c>
      <c r="Q42" s="96">
        <v>700</v>
      </c>
      <c r="R42" s="97">
        <v>0</v>
      </c>
      <c r="S42" s="95">
        <v>280</v>
      </c>
      <c r="T42" s="96">
        <v>400</v>
      </c>
      <c r="U42" s="97">
        <v>0</v>
      </c>
      <c r="V42" s="95">
        <v>600</v>
      </c>
      <c r="W42" s="96">
        <v>900</v>
      </c>
      <c r="X42" s="97">
        <v>0</v>
      </c>
      <c r="Y42" s="95">
        <v>360</v>
      </c>
      <c r="Z42" s="96">
        <v>360</v>
      </c>
      <c r="AA42" s="97">
        <v>0</v>
      </c>
      <c r="AB42" s="96">
        <v>430</v>
      </c>
      <c r="AC42" s="96">
        <v>430</v>
      </c>
      <c r="AD42" s="97">
        <v>0</v>
      </c>
      <c r="AE42" s="95">
        <v>900</v>
      </c>
      <c r="AF42" s="96">
        <v>900</v>
      </c>
      <c r="AG42" s="105">
        <v>0</v>
      </c>
      <c r="AH42" s="231">
        <f>+Janvier!AJ42</f>
        <v>499.20329670329681</v>
      </c>
      <c r="AI42" s="231">
        <f>+Janvier!AK42</f>
        <v>1553.0769230769233</v>
      </c>
      <c r="AJ42" s="231">
        <f>+Janvier!AL42</f>
        <v>1164.8076923076926</v>
      </c>
      <c r="AK42" s="231">
        <f>+Janvier!AM42</f>
        <v>1164.8076923076926</v>
      </c>
      <c r="AL42" s="231">
        <f>+Janvier!AN42</f>
        <v>705.944055944056</v>
      </c>
      <c r="AM42" s="231">
        <f>+Janvier!AO42</f>
        <v>436.80288461538458</v>
      </c>
      <c r="AN42" s="231">
        <f>+Janvier!AP42</f>
        <v>873.60576923076917</v>
      </c>
      <c r="AO42" s="231">
        <f>+Janvier!AQ42</f>
        <v>436.80288461538458</v>
      </c>
      <c r="AP42" s="231">
        <f>+Janvier!AR42</f>
        <v>436.80288461538458</v>
      </c>
      <c r="AQ42" s="231">
        <f>+Janvier!AS42</f>
        <v>776.53846153846166</v>
      </c>
      <c r="AR42" s="16">
        <f t="shared" si="78"/>
        <v>5</v>
      </c>
      <c r="AS42" s="16">
        <f t="shared" si="79"/>
        <v>5</v>
      </c>
      <c r="AT42" s="16">
        <f t="shared" si="80"/>
        <v>5</v>
      </c>
      <c r="AU42" s="16">
        <f t="shared" si="81"/>
        <v>5</v>
      </c>
      <c r="AV42" s="16">
        <f t="shared" si="82"/>
        <v>5</v>
      </c>
      <c r="AW42" s="16">
        <f t="shared" si="83"/>
        <v>5</v>
      </c>
      <c r="AX42" s="16">
        <f t="shared" si="84"/>
        <v>5</v>
      </c>
      <c r="AY42" s="16">
        <f t="shared" si="85"/>
        <v>4</v>
      </c>
      <c r="AZ42" s="16">
        <f t="shared" si="86"/>
        <v>5</v>
      </c>
      <c r="BA42" s="17">
        <f t="shared" si="87"/>
        <v>6</v>
      </c>
    </row>
    <row r="43" spans="1:53" ht="16.2" thickBot="1" x14ac:dyDescent="0.35">
      <c r="A43" s="199" t="s">
        <v>46</v>
      </c>
      <c r="B43" s="160">
        <v>43891</v>
      </c>
      <c r="C43" s="143">
        <v>43925</v>
      </c>
      <c r="D43" s="107">
        <v>3000</v>
      </c>
      <c r="E43" s="96">
        <v>3260</v>
      </c>
      <c r="F43" s="97">
        <v>0</v>
      </c>
      <c r="G43" s="95">
        <v>6900</v>
      </c>
      <c r="H43" s="96">
        <v>10240</v>
      </c>
      <c r="I43" s="105">
        <v>0</v>
      </c>
      <c r="J43" s="95">
        <v>6000</v>
      </c>
      <c r="K43" s="96">
        <v>6940</v>
      </c>
      <c r="L43" s="97">
        <v>0</v>
      </c>
      <c r="M43" s="95">
        <v>5000</v>
      </c>
      <c r="N43" s="96">
        <v>7200</v>
      </c>
      <c r="O43" s="97">
        <v>0</v>
      </c>
      <c r="P43" s="95">
        <v>3000</v>
      </c>
      <c r="Q43" s="96">
        <v>4458</v>
      </c>
      <c r="R43" s="97">
        <v>0</v>
      </c>
      <c r="S43" s="95">
        <v>2000</v>
      </c>
      <c r="T43" s="96">
        <v>2550</v>
      </c>
      <c r="U43" s="97">
        <v>0</v>
      </c>
      <c r="V43" s="95">
        <v>3500</v>
      </c>
      <c r="W43" s="96">
        <v>5650</v>
      </c>
      <c r="X43" s="97">
        <v>0</v>
      </c>
      <c r="Y43" s="95">
        <v>2200</v>
      </c>
      <c r="Z43" s="96">
        <v>2200</v>
      </c>
      <c r="AA43" s="97">
        <v>0</v>
      </c>
      <c r="AB43" s="96">
        <v>2450</v>
      </c>
      <c r="AC43" s="96">
        <v>2580</v>
      </c>
      <c r="AD43" s="97">
        <v>0</v>
      </c>
      <c r="AE43" s="95">
        <v>3800</v>
      </c>
      <c r="AF43" s="96">
        <v>5240</v>
      </c>
      <c r="AG43" s="105">
        <v>0</v>
      </c>
      <c r="AH43" s="231">
        <f>+Janvier!AJ43</f>
        <v>3075.0824175824173</v>
      </c>
      <c r="AI43" s="231">
        <f>+Janvier!AK43</f>
        <v>9566.923076923078</v>
      </c>
      <c r="AJ43" s="231">
        <f>+Janvier!AL43</f>
        <v>7175.1923076923067</v>
      </c>
      <c r="AK43" s="231">
        <f>+Janvier!AM43</f>
        <v>7175.1923076923067</v>
      </c>
      <c r="AL43" s="231">
        <f>+Janvier!AN43</f>
        <v>4348.6013986013986</v>
      </c>
      <c r="AM43" s="231">
        <f>+Janvier!AO43</f>
        <v>2690.6971153846152</v>
      </c>
      <c r="AN43" s="231">
        <f>+Janvier!AP43</f>
        <v>5381.3942307692305</v>
      </c>
      <c r="AO43" s="231">
        <f>+Janvier!AQ43</f>
        <v>2690.6971153846152</v>
      </c>
      <c r="AP43" s="231">
        <f>+Janvier!AR43</f>
        <v>2690.6971153846152</v>
      </c>
      <c r="AQ43" s="231">
        <f>+Janvier!AS43</f>
        <v>4783.461538461539</v>
      </c>
      <c r="AR43" s="16">
        <f t="shared" si="78"/>
        <v>5</v>
      </c>
      <c r="AS43" s="16">
        <f t="shared" si="79"/>
        <v>5</v>
      </c>
      <c r="AT43" s="16">
        <f t="shared" si="80"/>
        <v>5</v>
      </c>
      <c r="AU43" s="16">
        <f t="shared" si="81"/>
        <v>5</v>
      </c>
      <c r="AV43" s="16">
        <f t="shared" si="82"/>
        <v>5</v>
      </c>
      <c r="AW43" s="16">
        <f t="shared" si="83"/>
        <v>5</v>
      </c>
      <c r="AX43" s="16">
        <f t="shared" si="84"/>
        <v>5</v>
      </c>
      <c r="AY43" s="16">
        <f t="shared" si="85"/>
        <v>4</v>
      </c>
      <c r="AZ43" s="16">
        <f t="shared" si="86"/>
        <v>5</v>
      </c>
      <c r="BA43" s="17">
        <f t="shared" si="87"/>
        <v>5</v>
      </c>
    </row>
    <row r="44" spans="1:53" ht="16.2" thickBot="1" x14ac:dyDescent="0.35">
      <c r="A44" s="199" t="s">
        <v>47</v>
      </c>
      <c r="B44" s="160">
        <v>43889</v>
      </c>
      <c r="C44" s="143">
        <v>43923</v>
      </c>
      <c r="D44" s="107">
        <v>2400</v>
      </c>
      <c r="E44" s="96">
        <v>2420</v>
      </c>
      <c r="F44" s="97">
        <v>0</v>
      </c>
      <c r="G44" s="95">
        <v>5400</v>
      </c>
      <c r="H44" s="96">
        <v>7160</v>
      </c>
      <c r="I44" s="105">
        <v>0</v>
      </c>
      <c r="J44" s="95">
        <v>4540</v>
      </c>
      <c r="K44" s="96">
        <v>5140</v>
      </c>
      <c r="L44" s="97">
        <v>0</v>
      </c>
      <c r="M44" s="95">
        <v>4480</v>
      </c>
      <c r="N44" s="96">
        <v>5200</v>
      </c>
      <c r="O44" s="97">
        <v>0</v>
      </c>
      <c r="P44" s="95">
        <v>3200</v>
      </c>
      <c r="Q44" s="96">
        <v>3200</v>
      </c>
      <c r="R44" s="97">
        <v>0</v>
      </c>
      <c r="S44" s="95">
        <v>1500</v>
      </c>
      <c r="T44" s="96">
        <v>1800</v>
      </c>
      <c r="U44" s="97">
        <v>0</v>
      </c>
      <c r="V44" s="95">
        <v>2660</v>
      </c>
      <c r="W44" s="96">
        <v>4100</v>
      </c>
      <c r="X44" s="97">
        <v>0</v>
      </c>
      <c r="Y44" s="95">
        <v>1500</v>
      </c>
      <c r="Z44" s="96">
        <v>1500</v>
      </c>
      <c r="AA44" s="97">
        <v>0</v>
      </c>
      <c r="AB44" s="96">
        <v>300</v>
      </c>
      <c r="AC44" s="96">
        <v>300</v>
      </c>
      <c r="AD44" s="97">
        <v>0</v>
      </c>
      <c r="AE44" s="95">
        <v>3200</v>
      </c>
      <c r="AF44" s="96">
        <v>3780</v>
      </c>
      <c r="AG44" s="105">
        <v>0</v>
      </c>
      <c r="AH44" s="231">
        <f>+Janvier!AJ44</f>
        <v>2324.2994505494512</v>
      </c>
      <c r="AI44" s="231">
        <f>+Janvier!AK44</f>
        <v>7231.1538461538476</v>
      </c>
      <c r="AJ44" s="231">
        <f>+Janvier!AL44</f>
        <v>5423.3653846153857</v>
      </c>
      <c r="AK44" s="231">
        <f>+Janvier!AM44</f>
        <v>5423.3653846153857</v>
      </c>
      <c r="AL44" s="231">
        <f>+Janvier!AN44</f>
        <v>3286.8881118881118</v>
      </c>
      <c r="AM44" s="231">
        <f>+Janvier!AO44</f>
        <v>2033.7620192307693</v>
      </c>
      <c r="AN44" s="231">
        <f>+Janvier!AP44</f>
        <v>4067.5240384615386</v>
      </c>
      <c r="AO44" s="231">
        <f>+Janvier!AQ44</f>
        <v>2033.7620192307693</v>
      </c>
      <c r="AP44" s="231">
        <f>+Janvier!AR44</f>
        <v>2033.7620192307693</v>
      </c>
      <c r="AQ44" s="231">
        <f>+Janvier!AS44</f>
        <v>3615.5769230769238</v>
      </c>
      <c r="AR44" s="16">
        <f t="shared" si="78"/>
        <v>5</v>
      </c>
      <c r="AS44" s="16">
        <f t="shared" si="79"/>
        <v>5</v>
      </c>
      <c r="AT44" s="16">
        <f t="shared" si="80"/>
        <v>5</v>
      </c>
      <c r="AU44" s="16">
        <f t="shared" si="81"/>
        <v>5</v>
      </c>
      <c r="AV44" s="16">
        <f t="shared" si="82"/>
        <v>5</v>
      </c>
      <c r="AW44" s="16">
        <f t="shared" si="83"/>
        <v>4</v>
      </c>
      <c r="AX44" s="16">
        <f t="shared" si="84"/>
        <v>5</v>
      </c>
      <c r="AY44" s="16">
        <f t="shared" si="85"/>
        <v>4</v>
      </c>
      <c r="AZ44" s="16">
        <f t="shared" si="86"/>
        <v>1</v>
      </c>
      <c r="BA44" s="17">
        <f t="shared" si="87"/>
        <v>5</v>
      </c>
    </row>
    <row r="45" spans="1:53" ht="16.2" thickBot="1" x14ac:dyDescent="0.35">
      <c r="A45" s="199" t="s">
        <v>48</v>
      </c>
      <c r="B45" s="160">
        <v>43889</v>
      </c>
      <c r="C45" s="143">
        <v>43918</v>
      </c>
      <c r="D45" s="107">
        <v>2000</v>
      </c>
      <c r="E45" s="96">
        <v>2540</v>
      </c>
      <c r="F45" s="97">
        <v>0</v>
      </c>
      <c r="G45" s="95">
        <v>5560</v>
      </c>
      <c r="H45" s="96">
        <v>7900</v>
      </c>
      <c r="I45" s="105">
        <v>0</v>
      </c>
      <c r="J45" s="95">
        <v>4400</v>
      </c>
      <c r="K45" s="96">
        <v>5590</v>
      </c>
      <c r="L45" s="97">
        <v>0</v>
      </c>
      <c r="M45" s="95">
        <v>4300</v>
      </c>
      <c r="N45" s="96">
        <v>5536</v>
      </c>
      <c r="O45" s="97">
        <v>0</v>
      </c>
      <c r="P45" s="95">
        <v>2500</v>
      </c>
      <c r="Q45" s="96">
        <v>3409</v>
      </c>
      <c r="R45" s="97">
        <v>0</v>
      </c>
      <c r="S45" s="95">
        <v>1500</v>
      </c>
      <c r="T45" s="96">
        <v>2020</v>
      </c>
      <c r="U45" s="97">
        <v>0</v>
      </c>
      <c r="V45" s="95">
        <v>3000</v>
      </c>
      <c r="W45" s="96">
        <v>4430</v>
      </c>
      <c r="X45" s="97">
        <v>0</v>
      </c>
      <c r="Y45" s="95">
        <v>1400</v>
      </c>
      <c r="Z45" s="96">
        <v>1700</v>
      </c>
      <c r="AA45" s="97">
        <v>0</v>
      </c>
      <c r="AB45" s="96">
        <v>200</v>
      </c>
      <c r="AC45" s="96">
        <v>200</v>
      </c>
      <c r="AD45" s="97">
        <v>0</v>
      </c>
      <c r="AE45" s="95">
        <v>2200</v>
      </c>
      <c r="AF45" s="96">
        <v>3980</v>
      </c>
      <c r="AG45" s="105">
        <v>0</v>
      </c>
      <c r="AH45" s="231">
        <f>+Janvier!AJ45</f>
        <v>2327.5137362637361</v>
      </c>
      <c r="AI45" s="231">
        <f>+Janvier!AK45</f>
        <v>7241.1538461538466</v>
      </c>
      <c r="AJ45" s="231">
        <f>+Janvier!AL45</f>
        <v>5430.8653846153829</v>
      </c>
      <c r="AK45" s="231">
        <f>+Janvier!AM45</f>
        <v>5430.8653846153829</v>
      </c>
      <c r="AL45" s="231">
        <f>+Janvier!AN45</f>
        <v>3291.4335664335663</v>
      </c>
      <c r="AM45" s="231">
        <f>+Janvier!AO45</f>
        <v>2036.5745192307693</v>
      </c>
      <c r="AN45" s="231">
        <f>+Janvier!AP45</f>
        <v>4073.1490384615386</v>
      </c>
      <c r="AO45" s="231">
        <f>+Janvier!AQ45</f>
        <v>2036.5745192307693</v>
      </c>
      <c r="AP45" s="231">
        <f>+Janvier!AR45</f>
        <v>2036.5745192307693</v>
      </c>
      <c r="AQ45" s="231">
        <f>+Janvier!AS45</f>
        <v>3620.5769230769233</v>
      </c>
      <c r="AR45" s="16">
        <f t="shared" si="78"/>
        <v>5</v>
      </c>
      <c r="AS45" s="16">
        <f t="shared" si="79"/>
        <v>5</v>
      </c>
      <c r="AT45" s="16">
        <f t="shared" si="80"/>
        <v>5</v>
      </c>
      <c r="AU45" s="16">
        <f t="shared" si="81"/>
        <v>5</v>
      </c>
      <c r="AV45" s="16">
        <f t="shared" si="82"/>
        <v>5</v>
      </c>
      <c r="AW45" s="16">
        <f t="shared" si="83"/>
        <v>5</v>
      </c>
      <c r="AX45" s="16">
        <f t="shared" si="84"/>
        <v>5</v>
      </c>
      <c r="AY45" s="16">
        <f t="shared" si="85"/>
        <v>4</v>
      </c>
      <c r="AZ45" s="16">
        <f t="shared" si="86"/>
        <v>0</v>
      </c>
      <c r="BA45" s="17">
        <f t="shared" si="87"/>
        <v>5</v>
      </c>
    </row>
    <row r="46" spans="1:53" ht="16.2" thickBot="1" x14ac:dyDescent="0.35">
      <c r="A46" s="199" t="s">
        <v>49</v>
      </c>
      <c r="B46" s="160">
        <v>43889</v>
      </c>
      <c r="C46" s="143">
        <v>43920</v>
      </c>
      <c r="D46" s="107">
        <v>2000</v>
      </c>
      <c r="E46" s="96">
        <v>2420</v>
      </c>
      <c r="F46" s="97">
        <v>0</v>
      </c>
      <c r="G46" s="95">
        <v>6000</v>
      </c>
      <c r="H46" s="96">
        <v>6520</v>
      </c>
      <c r="I46" s="105">
        <v>0</v>
      </c>
      <c r="J46" s="95">
        <v>4200</v>
      </c>
      <c r="K46" s="96">
        <v>5240</v>
      </c>
      <c r="L46" s="97">
        <v>0</v>
      </c>
      <c r="M46" s="95">
        <v>4200</v>
      </c>
      <c r="N46" s="96">
        <v>5360</v>
      </c>
      <c r="O46" s="97">
        <v>0</v>
      </c>
      <c r="P46" s="95">
        <v>2700</v>
      </c>
      <c r="Q46" s="96">
        <v>3249</v>
      </c>
      <c r="R46" s="97">
        <v>0</v>
      </c>
      <c r="S46" s="95">
        <v>1300</v>
      </c>
      <c r="T46" s="96">
        <v>1860</v>
      </c>
      <c r="U46" s="97">
        <v>0</v>
      </c>
      <c r="V46" s="95">
        <v>2600</v>
      </c>
      <c r="W46" s="96">
        <v>4200</v>
      </c>
      <c r="X46" s="97">
        <v>0</v>
      </c>
      <c r="Y46" s="95">
        <v>1600</v>
      </c>
      <c r="Z46" s="96">
        <v>1600</v>
      </c>
      <c r="AA46" s="97">
        <v>0</v>
      </c>
      <c r="AB46" s="96">
        <v>200</v>
      </c>
      <c r="AC46" s="96">
        <v>200</v>
      </c>
      <c r="AD46" s="97">
        <v>4</v>
      </c>
      <c r="AE46" s="95">
        <v>2800</v>
      </c>
      <c r="AF46" s="96">
        <v>3790</v>
      </c>
      <c r="AG46" s="105">
        <v>0</v>
      </c>
      <c r="AH46" s="231">
        <f>+Janvier!AJ46</f>
        <v>2160.3708791208792</v>
      </c>
      <c r="AI46" s="231">
        <f>+Janvier!AK46</f>
        <v>6721.1538461538466</v>
      </c>
      <c r="AJ46" s="231">
        <f>+Janvier!AL46</f>
        <v>5040.8653846153848</v>
      </c>
      <c r="AK46" s="231">
        <f>+Janvier!AM46</f>
        <v>5040.8653846153848</v>
      </c>
      <c r="AL46" s="231">
        <f>+Janvier!AN46</f>
        <v>3055.0699300699303</v>
      </c>
      <c r="AM46" s="231">
        <f>+Janvier!AO46</f>
        <v>1890.3245192307693</v>
      </c>
      <c r="AN46" s="231">
        <f>+Janvier!AP46</f>
        <v>3780.6490384615386</v>
      </c>
      <c r="AO46" s="231">
        <f>+Janvier!AQ46</f>
        <v>1890.3245192307693</v>
      </c>
      <c r="AP46" s="231">
        <f>+Janvier!AR46</f>
        <v>1890.3245192307693</v>
      </c>
      <c r="AQ46" s="231">
        <f>+Janvier!AS46</f>
        <v>3360.5769230769233</v>
      </c>
      <c r="AR46" s="16">
        <f t="shared" si="78"/>
        <v>6</v>
      </c>
      <c r="AS46" s="16">
        <f t="shared" si="79"/>
        <v>5</v>
      </c>
      <c r="AT46" s="16">
        <f t="shared" si="80"/>
        <v>5</v>
      </c>
      <c r="AU46" s="16">
        <f t="shared" si="81"/>
        <v>5</v>
      </c>
      <c r="AV46" s="16">
        <f t="shared" si="82"/>
        <v>5</v>
      </c>
      <c r="AW46" s="16">
        <f t="shared" si="83"/>
        <v>5</v>
      </c>
      <c r="AX46" s="16">
        <f t="shared" si="84"/>
        <v>6</v>
      </c>
      <c r="AY46" s="16">
        <f t="shared" si="85"/>
        <v>4</v>
      </c>
      <c r="AZ46" s="16">
        <f t="shared" si="86"/>
        <v>1</v>
      </c>
      <c r="BA46" s="17">
        <f t="shared" si="87"/>
        <v>6</v>
      </c>
    </row>
    <row r="47" spans="1:53" ht="16.2" thickBot="1" x14ac:dyDescent="0.35">
      <c r="A47" s="199" t="s">
        <v>50</v>
      </c>
      <c r="B47" s="160">
        <v>43888</v>
      </c>
      <c r="C47" s="143">
        <v>43920</v>
      </c>
      <c r="D47" s="107">
        <v>3400</v>
      </c>
      <c r="E47" s="96">
        <v>3760</v>
      </c>
      <c r="F47" s="97">
        <v>0</v>
      </c>
      <c r="G47" s="95">
        <v>7560</v>
      </c>
      <c r="H47" s="96">
        <v>11660</v>
      </c>
      <c r="I47" s="105">
        <v>0</v>
      </c>
      <c r="J47" s="95">
        <v>6150</v>
      </c>
      <c r="K47" s="96">
        <v>8380</v>
      </c>
      <c r="L47" s="97">
        <v>4</v>
      </c>
      <c r="M47" s="95">
        <v>6656</v>
      </c>
      <c r="N47" s="96">
        <v>8380</v>
      </c>
      <c r="O47" s="97">
        <v>0</v>
      </c>
      <c r="P47" s="95">
        <v>4528</v>
      </c>
      <c r="Q47" s="96">
        <v>5500</v>
      </c>
      <c r="R47" s="97">
        <v>0</v>
      </c>
      <c r="S47" s="95">
        <v>2530</v>
      </c>
      <c r="T47" s="96">
        <v>2930</v>
      </c>
      <c r="U47" s="97">
        <v>0</v>
      </c>
      <c r="V47" s="95">
        <v>4160</v>
      </c>
      <c r="W47" s="96">
        <v>6560</v>
      </c>
      <c r="X47" s="97">
        <v>0</v>
      </c>
      <c r="Y47" s="95">
        <v>2850</v>
      </c>
      <c r="Z47" s="96">
        <v>2850</v>
      </c>
      <c r="AA47" s="97">
        <v>0</v>
      </c>
      <c r="AB47" s="96">
        <v>0</v>
      </c>
      <c r="AC47" s="96">
        <v>440</v>
      </c>
      <c r="AD47" s="97">
        <v>0</v>
      </c>
      <c r="AE47" s="95">
        <v>5830</v>
      </c>
      <c r="AF47" s="96">
        <v>6420</v>
      </c>
      <c r="AG47" s="105">
        <v>0</v>
      </c>
      <c r="AH47" s="231">
        <f>+Janvier!AJ47</f>
        <v>3766.7719780219786</v>
      </c>
      <c r="AI47" s="231">
        <f>+Janvier!AK47</f>
        <v>11718.846153846154</v>
      </c>
      <c r="AJ47" s="231">
        <f>+Janvier!AL47</f>
        <v>8789.1346153846171</v>
      </c>
      <c r="AK47" s="231">
        <f>+Janvier!AM47</f>
        <v>8789.1346153846171</v>
      </c>
      <c r="AL47" s="231">
        <f>+Janvier!AN47</f>
        <v>5326.7482517482513</v>
      </c>
      <c r="AM47" s="231">
        <f>+Janvier!AO47</f>
        <v>3295.9254807692309</v>
      </c>
      <c r="AN47" s="231">
        <f>+Janvier!AP47</f>
        <v>6591.8509615384619</v>
      </c>
      <c r="AO47" s="231">
        <f>+Janvier!AQ47</f>
        <v>3295.9254807692309</v>
      </c>
      <c r="AP47" s="231">
        <f>+Janvier!AR47</f>
        <v>3295.9254807692309</v>
      </c>
      <c r="AQ47" s="231">
        <f>+Janvier!AS47</f>
        <v>5859.4230769230771</v>
      </c>
      <c r="AR47" s="16">
        <f t="shared" si="78"/>
        <v>5</v>
      </c>
      <c r="AS47" s="16">
        <f t="shared" si="79"/>
        <v>5</v>
      </c>
      <c r="AT47" s="16">
        <f t="shared" si="80"/>
        <v>5</v>
      </c>
      <c r="AU47" s="16">
        <f t="shared" si="81"/>
        <v>5</v>
      </c>
      <c r="AV47" s="16">
        <f t="shared" si="82"/>
        <v>5</v>
      </c>
      <c r="AW47" s="16">
        <f t="shared" si="83"/>
        <v>4</v>
      </c>
      <c r="AX47" s="16">
        <f t="shared" si="84"/>
        <v>5</v>
      </c>
      <c r="AY47" s="16">
        <f t="shared" si="85"/>
        <v>4</v>
      </c>
      <c r="AZ47" s="16">
        <f t="shared" si="86"/>
        <v>1</v>
      </c>
      <c r="BA47" s="17">
        <f t="shared" si="87"/>
        <v>5</v>
      </c>
    </row>
    <row r="48" spans="1:53" ht="16.2" thickBot="1" x14ac:dyDescent="0.35">
      <c r="A48" s="199" t="s">
        <v>56</v>
      </c>
      <c r="B48" s="160">
        <v>43891</v>
      </c>
      <c r="C48" s="143">
        <v>43925</v>
      </c>
      <c r="D48" s="107">
        <v>1260</v>
      </c>
      <c r="E48" s="96">
        <v>1740</v>
      </c>
      <c r="F48" s="97">
        <v>0</v>
      </c>
      <c r="G48" s="95">
        <v>3400</v>
      </c>
      <c r="H48" s="96">
        <v>5280</v>
      </c>
      <c r="I48" s="105">
        <v>0</v>
      </c>
      <c r="J48" s="95">
        <v>2570</v>
      </c>
      <c r="K48" s="96">
        <v>3960</v>
      </c>
      <c r="L48" s="97">
        <v>0</v>
      </c>
      <c r="M48" s="95">
        <v>2544</v>
      </c>
      <c r="N48" s="96">
        <v>3860</v>
      </c>
      <c r="O48" s="97">
        <v>0</v>
      </c>
      <c r="P48" s="95">
        <v>1589</v>
      </c>
      <c r="Q48" s="96">
        <v>2537</v>
      </c>
      <c r="R48" s="97">
        <v>0</v>
      </c>
      <c r="S48" s="95">
        <v>830</v>
      </c>
      <c r="T48" s="96">
        <v>1320</v>
      </c>
      <c r="U48" s="97">
        <v>0</v>
      </c>
      <c r="V48" s="95">
        <v>1300</v>
      </c>
      <c r="W48" s="96">
        <v>3070</v>
      </c>
      <c r="X48" s="97">
        <v>0</v>
      </c>
      <c r="Y48" s="95">
        <v>1110</v>
      </c>
      <c r="Z48" s="96">
        <v>1110</v>
      </c>
      <c r="AA48" s="97">
        <v>0</v>
      </c>
      <c r="AB48" s="96">
        <v>0</v>
      </c>
      <c r="AC48" s="96">
        <v>0</v>
      </c>
      <c r="AD48" s="97">
        <v>35</v>
      </c>
      <c r="AE48" s="95">
        <v>1300</v>
      </c>
      <c r="AF48" s="96">
        <v>2650</v>
      </c>
      <c r="AG48" s="105">
        <v>0</v>
      </c>
      <c r="AH48" s="231">
        <f>+Janvier!AJ48</f>
        <v>1604.6703296703297</v>
      </c>
      <c r="AI48" s="231">
        <f>+Janvier!AK48</f>
        <v>4992.3076923076924</v>
      </c>
      <c r="AJ48" s="231">
        <f>+Janvier!AL48</f>
        <v>3744.2307692307691</v>
      </c>
      <c r="AK48" s="231">
        <f>+Janvier!AM48</f>
        <v>3744.2307692307691</v>
      </c>
      <c r="AL48" s="231">
        <f>+Janvier!AN48</f>
        <v>2269.2307692307695</v>
      </c>
      <c r="AM48" s="231">
        <f>+Janvier!AO48</f>
        <v>1404.0865384615383</v>
      </c>
      <c r="AN48" s="231">
        <f>+Janvier!AP48</f>
        <v>2808.1730769230767</v>
      </c>
      <c r="AO48" s="231">
        <f>+Janvier!AQ48</f>
        <v>1404.0865384615383</v>
      </c>
      <c r="AP48" s="231">
        <f>+Janvier!AR48</f>
        <v>1404.0865384615383</v>
      </c>
      <c r="AQ48" s="231">
        <f>+Janvier!AS48</f>
        <v>2496.1538461538462</v>
      </c>
      <c r="AR48" s="16">
        <f t="shared" si="78"/>
        <v>5</v>
      </c>
      <c r="AS48" s="16">
        <f t="shared" si="79"/>
        <v>5</v>
      </c>
      <c r="AT48" s="16">
        <f t="shared" si="80"/>
        <v>5</v>
      </c>
      <c r="AU48" s="16">
        <f t="shared" si="81"/>
        <v>5</v>
      </c>
      <c r="AV48" s="16">
        <f t="shared" si="82"/>
        <v>6</v>
      </c>
      <c r="AW48" s="16">
        <f t="shared" si="83"/>
        <v>5</v>
      </c>
      <c r="AX48" s="16">
        <f t="shared" si="84"/>
        <v>5</v>
      </c>
      <c r="AY48" s="16">
        <f t="shared" si="85"/>
        <v>4</v>
      </c>
      <c r="AZ48" s="16">
        <f t="shared" si="86"/>
        <v>0</v>
      </c>
      <c r="BA48" s="17">
        <f t="shared" si="87"/>
        <v>5</v>
      </c>
    </row>
    <row r="49" spans="1:53" ht="16.2" thickBot="1" x14ac:dyDescent="0.35">
      <c r="A49" s="199" t="s">
        <v>51</v>
      </c>
      <c r="B49" s="160">
        <v>43887</v>
      </c>
      <c r="C49" s="143">
        <v>43917</v>
      </c>
      <c r="D49" s="107">
        <v>1060</v>
      </c>
      <c r="E49" s="96">
        <v>1120</v>
      </c>
      <c r="F49" s="97">
        <v>0</v>
      </c>
      <c r="G49" s="95">
        <v>2360</v>
      </c>
      <c r="H49" s="96">
        <v>3280</v>
      </c>
      <c r="I49" s="105">
        <v>0</v>
      </c>
      <c r="J49" s="95">
        <v>2280</v>
      </c>
      <c r="K49" s="96">
        <v>2400</v>
      </c>
      <c r="L49" s="97">
        <v>0</v>
      </c>
      <c r="M49" s="95">
        <v>888</v>
      </c>
      <c r="N49" s="96">
        <v>2380</v>
      </c>
      <c r="O49" s="97">
        <v>0</v>
      </c>
      <c r="P49" s="95">
        <v>1340</v>
      </c>
      <c r="Q49" s="96">
        <v>1480</v>
      </c>
      <c r="R49" s="97">
        <v>0</v>
      </c>
      <c r="S49" s="95">
        <v>810</v>
      </c>
      <c r="T49" s="96">
        <v>840</v>
      </c>
      <c r="U49" s="97">
        <v>0</v>
      </c>
      <c r="V49" s="95">
        <v>1490</v>
      </c>
      <c r="W49" s="96">
        <v>1880</v>
      </c>
      <c r="X49" s="97">
        <v>0</v>
      </c>
      <c r="Y49" s="95">
        <v>700</v>
      </c>
      <c r="Z49" s="96">
        <v>770</v>
      </c>
      <c r="AA49" s="97">
        <v>0</v>
      </c>
      <c r="AB49" s="96">
        <v>0</v>
      </c>
      <c r="AC49" s="96">
        <v>450</v>
      </c>
      <c r="AD49" s="97">
        <v>0</v>
      </c>
      <c r="AE49" s="95">
        <v>1600</v>
      </c>
      <c r="AF49" s="96">
        <v>1660</v>
      </c>
      <c r="AG49" s="105">
        <v>0</v>
      </c>
      <c r="AH49" s="231">
        <f>+Janvier!AJ49</f>
        <v>1032.2802197802198</v>
      </c>
      <c r="AI49" s="231">
        <f>+Janvier!AK49</f>
        <v>3211.5384615384614</v>
      </c>
      <c r="AJ49" s="231">
        <f>+Janvier!AL49</f>
        <v>2408.6538461538462</v>
      </c>
      <c r="AK49" s="231">
        <f>+Janvier!AM49</f>
        <v>2408.6538461538462</v>
      </c>
      <c r="AL49" s="231">
        <f>+Janvier!AN49</f>
        <v>1459.7902097902099</v>
      </c>
      <c r="AM49" s="231">
        <f>+Janvier!AO49</f>
        <v>903.24519230769226</v>
      </c>
      <c r="AN49" s="231">
        <f>+Janvier!AP49</f>
        <v>1806.4903846153845</v>
      </c>
      <c r="AO49" s="231">
        <f>+Janvier!AQ49</f>
        <v>903.24519230769226</v>
      </c>
      <c r="AP49" s="231">
        <f>+Janvier!AR49</f>
        <v>903.24519230769226</v>
      </c>
      <c r="AQ49" s="231">
        <f>+Janvier!AS49</f>
        <v>1605.7692307692307</v>
      </c>
      <c r="AR49" s="16">
        <f t="shared" si="78"/>
        <v>5</v>
      </c>
      <c r="AS49" s="16">
        <f t="shared" si="79"/>
        <v>5</v>
      </c>
      <c r="AT49" s="16">
        <f t="shared" si="80"/>
        <v>5</v>
      </c>
      <c r="AU49" s="16">
        <f t="shared" si="81"/>
        <v>5</v>
      </c>
      <c r="AV49" s="16">
        <f t="shared" si="82"/>
        <v>5</v>
      </c>
      <c r="AW49" s="16">
        <f t="shared" si="83"/>
        <v>5</v>
      </c>
      <c r="AX49" s="16">
        <f t="shared" si="84"/>
        <v>5</v>
      </c>
      <c r="AY49" s="16">
        <f t="shared" si="85"/>
        <v>4</v>
      </c>
      <c r="AZ49" s="16">
        <f t="shared" si="86"/>
        <v>2</v>
      </c>
      <c r="BA49" s="17">
        <f t="shared" si="87"/>
        <v>5</v>
      </c>
    </row>
    <row r="50" spans="1:53" ht="16.2" thickBot="1" x14ac:dyDescent="0.35">
      <c r="A50" s="199" t="s">
        <v>52</v>
      </c>
      <c r="B50" s="160">
        <v>43886</v>
      </c>
      <c r="C50" s="143">
        <v>43916</v>
      </c>
      <c r="D50" s="107">
        <v>2100</v>
      </c>
      <c r="E50" s="96">
        <v>3060</v>
      </c>
      <c r="F50" s="97">
        <v>0</v>
      </c>
      <c r="G50" s="95">
        <v>7000</v>
      </c>
      <c r="H50" s="96">
        <v>9900</v>
      </c>
      <c r="I50" s="105">
        <v>0</v>
      </c>
      <c r="J50" s="95">
        <v>4600</v>
      </c>
      <c r="K50" s="96">
        <v>7010</v>
      </c>
      <c r="L50" s="97">
        <v>0</v>
      </c>
      <c r="M50" s="95">
        <v>3552</v>
      </c>
      <c r="N50" s="96">
        <v>7152</v>
      </c>
      <c r="O50" s="97">
        <v>0</v>
      </c>
      <c r="P50" s="95">
        <v>2450</v>
      </c>
      <c r="Q50" s="96">
        <v>4350</v>
      </c>
      <c r="R50" s="97">
        <v>0</v>
      </c>
      <c r="S50" s="95">
        <v>860</v>
      </c>
      <c r="T50" s="96">
        <v>2500</v>
      </c>
      <c r="U50" s="97">
        <v>0</v>
      </c>
      <c r="V50" s="95">
        <v>3200</v>
      </c>
      <c r="W50" s="96">
        <v>5440</v>
      </c>
      <c r="X50" s="97">
        <v>0</v>
      </c>
      <c r="Y50" s="95">
        <v>2100</v>
      </c>
      <c r="Z50" s="96">
        <v>2100</v>
      </c>
      <c r="AA50" s="97">
        <v>0</v>
      </c>
      <c r="AB50" s="96">
        <v>2500</v>
      </c>
      <c r="AC50" s="96">
        <v>250</v>
      </c>
      <c r="AD50" s="97">
        <v>0</v>
      </c>
      <c r="AE50" s="95">
        <v>3700</v>
      </c>
      <c r="AF50" s="96">
        <v>4970</v>
      </c>
      <c r="AG50" s="105">
        <v>0</v>
      </c>
      <c r="AH50" s="231">
        <f>+Janvier!AJ50</f>
        <v>2981.6208791208792</v>
      </c>
      <c r="AI50" s="231">
        <f>+Janvier!AK50</f>
        <v>9276.1538461538476</v>
      </c>
      <c r="AJ50" s="231">
        <f>+Janvier!AL50</f>
        <v>6957.1153846153857</v>
      </c>
      <c r="AK50" s="231">
        <f>+Janvier!AM50</f>
        <v>6957.1153846153857</v>
      </c>
      <c r="AL50" s="231">
        <f>+Janvier!AN50</f>
        <v>4216.4335664335667</v>
      </c>
      <c r="AM50" s="231">
        <f>+Janvier!AO50</f>
        <v>2608.9182692307691</v>
      </c>
      <c r="AN50" s="231">
        <f>+Janvier!AP50</f>
        <v>5217.8365384615381</v>
      </c>
      <c r="AO50" s="231">
        <f>+Janvier!AQ50</f>
        <v>2608.9182692307691</v>
      </c>
      <c r="AP50" s="231">
        <f>+Janvier!AR50</f>
        <v>2608.9182692307691</v>
      </c>
      <c r="AQ50" s="231">
        <f>+Janvier!AS50</f>
        <v>4638.0769230769238</v>
      </c>
      <c r="AR50" s="16">
        <f t="shared" si="78"/>
        <v>5</v>
      </c>
      <c r="AS50" s="16">
        <f t="shared" si="79"/>
        <v>5</v>
      </c>
      <c r="AT50" s="16">
        <f t="shared" si="80"/>
        <v>5</v>
      </c>
      <c r="AU50" s="16">
        <f t="shared" si="81"/>
        <v>5</v>
      </c>
      <c r="AV50" s="16">
        <f t="shared" si="82"/>
        <v>5</v>
      </c>
      <c r="AW50" s="16">
        <f t="shared" si="83"/>
        <v>5</v>
      </c>
      <c r="AX50" s="16">
        <f t="shared" si="84"/>
        <v>5</v>
      </c>
      <c r="AY50" s="16">
        <f t="shared" si="85"/>
        <v>4</v>
      </c>
      <c r="AZ50" s="16">
        <f t="shared" si="86"/>
        <v>0</v>
      </c>
      <c r="BA50" s="17">
        <f t="shared" si="87"/>
        <v>5</v>
      </c>
    </row>
    <row r="51" spans="1:53" ht="16.2" thickBot="1" x14ac:dyDescent="0.35">
      <c r="A51" s="199" t="s">
        <v>53</v>
      </c>
      <c r="B51" s="160">
        <v>43893</v>
      </c>
      <c r="C51" s="143">
        <v>43922</v>
      </c>
      <c r="D51" s="107">
        <v>180</v>
      </c>
      <c r="E51" s="96">
        <v>180</v>
      </c>
      <c r="F51" s="97">
        <v>0</v>
      </c>
      <c r="G51" s="95">
        <v>540</v>
      </c>
      <c r="H51" s="96">
        <v>580</v>
      </c>
      <c r="I51" s="105">
        <v>0</v>
      </c>
      <c r="J51" s="95">
        <v>420</v>
      </c>
      <c r="K51" s="96">
        <v>420</v>
      </c>
      <c r="L51" s="97">
        <v>0</v>
      </c>
      <c r="M51" s="95">
        <v>300</v>
      </c>
      <c r="N51" s="96">
        <v>404</v>
      </c>
      <c r="O51" s="97">
        <v>0</v>
      </c>
      <c r="P51" s="95">
        <v>200</v>
      </c>
      <c r="Q51" s="96">
        <v>246</v>
      </c>
      <c r="R51" s="97">
        <v>0</v>
      </c>
      <c r="S51" s="95">
        <v>130</v>
      </c>
      <c r="T51" s="96">
        <v>140</v>
      </c>
      <c r="U51" s="97">
        <v>0</v>
      </c>
      <c r="V51" s="95">
        <v>260</v>
      </c>
      <c r="W51" s="96">
        <v>320</v>
      </c>
      <c r="X51" s="97">
        <v>0</v>
      </c>
      <c r="Y51" s="95">
        <v>110</v>
      </c>
      <c r="Z51" s="96">
        <v>110</v>
      </c>
      <c r="AA51" s="97">
        <v>0</v>
      </c>
      <c r="AB51" s="96">
        <v>0</v>
      </c>
      <c r="AC51" s="96">
        <v>0</v>
      </c>
      <c r="AD51" s="97">
        <v>28</v>
      </c>
      <c r="AE51" s="95">
        <v>260</v>
      </c>
      <c r="AF51" s="96">
        <v>280</v>
      </c>
      <c r="AG51" s="105">
        <v>0</v>
      </c>
      <c r="AH51" s="231">
        <f>+Janvier!AJ51</f>
        <v>168.87362637362639</v>
      </c>
      <c r="AI51" s="231">
        <f>+Janvier!AK51</f>
        <v>525.38461538461547</v>
      </c>
      <c r="AJ51" s="231">
        <f>+Janvier!AL51</f>
        <v>394.0384615384616</v>
      </c>
      <c r="AK51" s="231">
        <f>+Janvier!AM51</f>
        <v>394.0384615384616</v>
      </c>
      <c r="AL51" s="231">
        <f>+Janvier!AN51</f>
        <v>238.81118881118883</v>
      </c>
      <c r="AM51" s="231">
        <f>+Janvier!AO51</f>
        <v>147.76442307692309</v>
      </c>
      <c r="AN51" s="231">
        <f>+Janvier!AP51</f>
        <v>295.52884615384619</v>
      </c>
      <c r="AO51" s="231">
        <f>+Janvier!AQ51</f>
        <v>147.76442307692309</v>
      </c>
      <c r="AP51" s="231">
        <f>+Janvier!AR51</f>
        <v>147.76442307692309</v>
      </c>
      <c r="AQ51" s="231">
        <f>+Janvier!AS51</f>
        <v>262.69230769230774</v>
      </c>
      <c r="AR51" s="16">
        <f t="shared" si="78"/>
        <v>5</v>
      </c>
      <c r="AS51" s="16">
        <f t="shared" si="79"/>
        <v>6</v>
      </c>
      <c r="AT51" s="16">
        <f t="shared" si="80"/>
        <v>5</v>
      </c>
      <c r="AU51" s="16">
        <f t="shared" si="81"/>
        <v>5</v>
      </c>
      <c r="AV51" s="16">
        <f t="shared" si="82"/>
        <v>5</v>
      </c>
      <c r="AW51" s="16">
        <f t="shared" si="83"/>
        <v>5</v>
      </c>
      <c r="AX51" s="16">
        <f t="shared" si="84"/>
        <v>5</v>
      </c>
      <c r="AY51" s="16">
        <f t="shared" si="85"/>
        <v>4</v>
      </c>
      <c r="AZ51" s="16">
        <f t="shared" si="86"/>
        <v>0</v>
      </c>
      <c r="BA51" s="17">
        <f t="shared" si="87"/>
        <v>5</v>
      </c>
    </row>
    <row r="52" spans="1:53" ht="16.2" thickBot="1" x14ac:dyDescent="0.35">
      <c r="A52" s="199" t="s">
        <v>54</v>
      </c>
      <c r="B52" s="160">
        <v>43892</v>
      </c>
      <c r="C52" s="143">
        <v>43917</v>
      </c>
      <c r="D52" s="107">
        <v>1060</v>
      </c>
      <c r="E52" s="96">
        <v>1120</v>
      </c>
      <c r="F52" s="97">
        <v>0</v>
      </c>
      <c r="G52" s="95">
        <v>2360</v>
      </c>
      <c r="H52" s="96">
        <v>3200</v>
      </c>
      <c r="I52" s="105">
        <v>0</v>
      </c>
      <c r="J52" s="95">
        <v>2280</v>
      </c>
      <c r="K52" s="96">
        <v>2400</v>
      </c>
      <c r="L52" s="97">
        <v>0</v>
      </c>
      <c r="M52" s="95">
        <v>1652</v>
      </c>
      <c r="N52" s="96">
        <v>2380</v>
      </c>
      <c r="O52" s="97">
        <v>0</v>
      </c>
      <c r="P52" s="95">
        <v>731</v>
      </c>
      <c r="Q52" s="96">
        <v>1340</v>
      </c>
      <c r="R52" s="97">
        <v>0</v>
      </c>
      <c r="S52" s="95">
        <v>470</v>
      </c>
      <c r="T52" s="96">
        <v>780</v>
      </c>
      <c r="U52" s="97">
        <v>0</v>
      </c>
      <c r="V52" s="95">
        <v>270</v>
      </c>
      <c r="W52" s="96">
        <v>1700</v>
      </c>
      <c r="X52" s="97">
        <v>0</v>
      </c>
      <c r="Y52" s="95">
        <v>800</v>
      </c>
      <c r="Z52" s="96">
        <v>760</v>
      </c>
      <c r="AA52" s="97">
        <v>0</v>
      </c>
      <c r="AB52" s="96">
        <v>0</v>
      </c>
      <c r="AC52" s="96">
        <v>80</v>
      </c>
      <c r="AD52" s="97">
        <v>0</v>
      </c>
      <c r="AE52" s="95">
        <v>1260</v>
      </c>
      <c r="AF52" s="96">
        <v>1680</v>
      </c>
      <c r="AG52" s="105">
        <v>0</v>
      </c>
      <c r="AH52" s="231">
        <f>+Janvier!AJ52</f>
        <v>1001.7445054945053</v>
      </c>
      <c r="AI52" s="231">
        <f>+Janvier!AK52</f>
        <v>3116.5384615384614</v>
      </c>
      <c r="AJ52" s="231">
        <f>+Janvier!AL52</f>
        <v>2337.4038461538462</v>
      </c>
      <c r="AK52" s="231">
        <f>+Janvier!AM52</f>
        <v>2337.4038461538462</v>
      </c>
      <c r="AL52" s="231">
        <f>+Janvier!AN52</f>
        <v>1416.6083916083917</v>
      </c>
      <c r="AM52" s="231">
        <f>+Janvier!AO52</f>
        <v>876.52644230769226</v>
      </c>
      <c r="AN52" s="231">
        <f>+Janvier!AP52</f>
        <v>1753.0528846153845</v>
      </c>
      <c r="AO52" s="231">
        <f>+Janvier!AQ52</f>
        <v>876.52644230769226</v>
      </c>
      <c r="AP52" s="231">
        <f>+Janvier!AR52</f>
        <v>876.52644230769226</v>
      </c>
      <c r="AQ52" s="231">
        <f>+Janvier!AS52</f>
        <v>1558.2692307692307</v>
      </c>
      <c r="AR52" s="16">
        <f t="shared" si="78"/>
        <v>6</v>
      </c>
      <c r="AS52" s="16">
        <f t="shared" si="79"/>
        <v>5</v>
      </c>
      <c r="AT52" s="16">
        <f t="shared" si="80"/>
        <v>5</v>
      </c>
      <c r="AU52" s="16">
        <f t="shared" si="81"/>
        <v>5</v>
      </c>
      <c r="AV52" s="16">
        <f t="shared" si="82"/>
        <v>5</v>
      </c>
      <c r="AW52" s="16">
        <f t="shared" si="83"/>
        <v>4</v>
      </c>
      <c r="AX52" s="16">
        <f t="shared" si="84"/>
        <v>5</v>
      </c>
      <c r="AY52" s="16">
        <f t="shared" si="85"/>
        <v>4</v>
      </c>
      <c r="AZ52" s="16">
        <f t="shared" si="86"/>
        <v>0</v>
      </c>
      <c r="BA52" s="17">
        <f t="shared" si="87"/>
        <v>5</v>
      </c>
    </row>
    <row r="53" spans="1:53" ht="16.2" thickBot="1" x14ac:dyDescent="0.35">
      <c r="A53" s="200" t="s">
        <v>55</v>
      </c>
      <c r="B53" s="160">
        <v>43911</v>
      </c>
      <c r="C53" s="143">
        <v>43926</v>
      </c>
      <c r="D53" s="249">
        <v>160</v>
      </c>
      <c r="E53" s="260">
        <v>280</v>
      </c>
      <c r="F53" s="261">
        <v>0</v>
      </c>
      <c r="G53" s="111">
        <v>900</v>
      </c>
      <c r="H53" s="109">
        <v>920</v>
      </c>
      <c r="I53" s="112">
        <v>0</v>
      </c>
      <c r="J53" s="111">
        <v>650</v>
      </c>
      <c r="K53" s="109">
        <v>650</v>
      </c>
      <c r="L53" s="110">
        <v>0</v>
      </c>
      <c r="M53" s="111">
        <v>512</v>
      </c>
      <c r="N53" s="109">
        <v>644</v>
      </c>
      <c r="O53" s="110">
        <v>0</v>
      </c>
      <c r="P53" s="111">
        <v>160</v>
      </c>
      <c r="Q53" s="109">
        <v>396</v>
      </c>
      <c r="R53" s="110">
        <v>0</v>
      </c>
      <c r="S53" s="111">
        <v>100</v>
      </c>
      <c r="T53" s="109">
        <v>230</v>
      </c>
      <c r="U53" s="110">
        <v>0</v>
      </c>
      <c r="V53" s="111">
        <v>160</v>
      </c>
      <c r="W53" s="109">
        <v>510</v>
      </c>
      <c r="X53" s="110">
        <v>0</v>
      </c>
      <c r="Y53" s="111">
        <v>120</v>
      </c>
      <c r="Z53" s="109">
        <v>190</v>
      </c>
      <c r="AA53" s="110">
        <v>0</v>
      </c>
      <c r="AB53" s="96">
        <v>230</v>
      </c>
      <c r="AC53" s="96">
        <v>230</v>
      </c>
      <c r="AD53" s="110">
        <v>0</v>
      </c>
      <c r="AE53" s="111">
        <v>450</v>
      </c>
      <c r="AF53" s="109">
        <v>450</v>
      </c>
      <c r="AG53" s="112">
        <v>0</v>
      </c>
      <c r="AH53" s="231">
        <f>+Janvier!AJ53</f>
        <v>269.25824175824175</v>
      </c>
      <c r="AI53" s="231">
        <f>+Janvier!AK53</f>
        <v>837.69230769230774</v>
      </c>
      <c r="AJ53" s="231">
        <f>+Janvier!AL53</f>
        <v>628.26923076923083</v>
      </c>
      <c r="AK53" s="231">
        <f>+Janvier!AM53</f>
        <v>628.26923076923083</v>
      </c>
      <c r="AL53" s="231">
        <f>+Janvier!AN53</f>
        <v>380.76923076923083</v>
      </c>
      <c r="AM53" s="231">
        <f>+Janvier!AO53</f>
        <v>235.60096153846155</v>
      </c>
      <c r="AN53" s="231">
        <f>+Janvier!AP53</f>
        <v>471.20192307692309</v>
      </c>
      <c r="AO53" s="231">
        <f>+Janvier!AQ53</f>
        <v>235.60096153846155</v>
      </c>
      <c r="AP53" s="231">
        <f>+Janvier!AR53</f>
        <v>235.60096153846155</v>
      </c>
      <c r="AQ53" s="231">
        <f>+Janvier!AS53</f>
        <v>418.84615384615387</v>
      </c>
      <c r="AR53" s="32">
        <f t="shared" si="78"/>
        <v>5</v>
      </c>
      <c r="AS53" s="32">
        <f t="shared" si="79"/>
        <v>5</v>
      </c>
      <c r="AT53" s="32">
        <f t="shared" si="80"/>
        <v>5</v>
      </c>
      <c r="AU53" s="32">
        <f t="shared" si="81"/>
        <v>5</v>
      </c>
      <c r="AV53" s="32">
        <f t="shared" si="82"/>
        <v>5</v>
      </c>
      <c r="AW53" s="32">
        <f t="shared" si="83"/>
        <v>5</v>
      </c>
      <c r="AX53" s="32">
        <f t="shared" si="84"/>
        <v>5</v>
      </c>
      <c r="AY53" s="32">
        <f t="shared" si="85"/>
        <v>4</v>
      </c>
      <c r="AZ53" s="32">
        <f t="shared" si="86"/>
        <v>5</v>
      </c>
      <c r="BA53" s="33">
        <f t="shared" si="87"/>
        <v>5</v>
      </c>
    </row>
    <row r="54" spans="1:53" ht="15.6" x14ac:dyDescent="0.3">
      <c r="A54" s="201" t="s">
        <v>146</v>
      </c>
      <c r="B54" s="256">
        <v>43891</v>
      </c>
      <c r="C54" s="259">
        <v>43921</v>
      </c>
      <c r="D54" s="125">
        <v>0</v>
      </c>
      <c r="E54" s="123">
        <v>31260</v>
      </c>
      <c r="F54" s="124">
        <v>0</v>
      </c>
      <c r="G54" s="125">
        <v>0</v>
      </c>
      <c r="H54" s="123">
        <v>97400</v>
      </c>
      <c r="I54" s="124">
        <v>0</v>
      </c>
      <c r="J54" s="125">
        <v>0</v>
      </c>
      <c r="K54" s="123">
        <v>68700</v>
      </c>
      <c r="L54" s="124">
        <v>0</v>
      </c>
      <c r="M54" s="125">
        <v>0</v>
      </c>
      <c r="N54" s="123">
        <v>72168</v>
      </c>
      <c r="O54" s="124">
        <v>0</v>
      </c>
      <c r="P54" s="125">
        <v>0</v>
      </c>
      <c r="Q54" s="123">
        <v>44900</v>
      </c>
      <c r="R54" s="124">
        <v>0</v>
      </c>
      <c r="S54" s="125">
        <v>0</v>
      </c>
      <c r="T54" s="123">
        <v>20560</v>
      </c>
      <c r="U54" s="124">
        <v>0</v>
      </c>
      <c r="V54" s="125">
        <v>0</v>
      </c>
      <c r="W54" s="123">
        <v>72480</v>
      </c>
      <c r="X54" s="124">
        <v>0</v>
      </c>
      <c r="Y54" s="125">
        <v>0</v>
      </c>
      <c r="Z54" s="123">
        <v>25840</v>
      </c>
      <c r="AA54" s="124">
        <v>0</v>
      </c>
      <c r="AB54" s="125">
        <v>15700</v>
      </c>
      <c r="AC54" s="123">
        <v>10100</v>
      </c>
      <c r="AD54" s="124">
        <v>0</v>
      </c>
      <c r="AE54" s="125">
        <v>0</v>
      </c>
      <c r="AF54" s="123">
        <v>75330</v>
      </c>
      <c r="AG54" s="124">
        <v>0</v>
      </c>
      <c r="AH54" s="265">
        <f>+Janvier!AJ54</f>
        <v>63310.376250000001</v>
      </c>
      <c r="AI54" s="231">
        <f>+Janvier!AK54</f>
        <v>217816.00961538462</v>
      </c>
      <c r="AJ54" s="231">
        <f>+Janvier!AL54</f>
        <v>145065.46240384618</v>
      </c>
      <c r="AK54" s="231">
        <f>+Janvier!AM54</f>
        <v>145065.46240384618</v>
      </c>
      <c r="AL54" s="231">
        <f>+Janvier!AN54</f>
        <v>91482.724038461543</v>
      </c>
      <c r="AM54" s="231">
        <f>+Janvier!AO54</f>
        <v>54454.002403846156</v>
      </c>
      <c r="AN54" s="231">
        <f>+Janvier!AP54</f>
        <v>108908.00480769231</v>
      </c>
      <c r="AO54" s="231">
        <f>+Janvier!AQ54</f>
        <v>54454.002403846156</v>
      </c>
      <c r="AP54" s="231">
        <f>+Janvier!AR54</f>
        <v>54454.002403846156</v>
      </c>
      <c r="AQ54" s="231">
        <f>+Janvier!AS54</f>
        <v>98286.038653846175</v>
      </c>
      <c r="AR54" s="16">
        <f>ROUND(E54/(AH54/15),0)</f>
        <v>7</v>
      </c>
      <c r="AS54" s="16">
        <f t="shared" ref="AS54" si="88">ROUND(H54/(AI54/15),0)</f>
        <v>7</v>
      </c>
      <c r="AT54" s="16">
        <f t="shared" ref="AT54" si="89">ROUND(K54/(AJ54/15),0)</f>
        <v>7</v>
      </c>
      <c r="AU54" s="16">
        <f t="shared" ref="AU54" si="90">ROUND(N54/(AK54/15),0)</f>
        <v>7</v>
      </c>
      <c r="AV54" s="16">
        <f t="shared" ref="AV54" si="91">ROUND(Q54/(AL54/15),0)</f>
        <v>7</v>
      </c>
      <c r="AW54" s="16">
        <f t="shared" ref="AW54" si="92">ROUND(T54/(AM54/15),0)</f>
        <v>6</v>
      </c>
      <c r="AX54" s="16">
        <f t="shared" ref="AX54" si="93">ROUND(W54/(AN54/15),0)</f>
        <v>10</v>
      </c>
      <c r="AY54" s="16">
        <f t="shared" ref="AY54" si="94">ROUND(Z54/(AO54/15),0)</f>
        <v>7</v>
      </c>
      <c r="AZ54" s="16">
        <f t="shared" ref="AZ54" si="95">ROUND(AC54/(AP54/15),0)</f>
        <v>3</v>
      </c>
      <c r="BA54" s="17">
        <f t="shared" ref="BA54" si="96">ROUND(AF54/(AQ54/15),0)</f>
        <v>11</v>
      </c>
    </row>
    <row r="55" spans="1:53" ht="15.6" x14ac:dyDescent="0.3">
      <c r="A55" s="199" t="s">
        <v>21</v>
      </c>
      <c r="B55" s="257">
        <v>43891</v>
      </c>
      <c r="C55" s="233">
        <v>43921</v>
      </c>
      <c r="D55" s="95">
        <v>1500</v>
      </c>
      <c r="E55" s="96">
        <v>320</v>
      </c>
      <c r="F55" s="97">
        <v>0</v>
      </c>
      <c r="G55" s="95">
        <v>3000</v>
      </c>
      <c r="H55" s="96">
        <v>1020</v>
      </c>
      <c r="I55" s="97">
        <v>0</v>
      </c>
      <c r="J55" s="95">
        <v>1900</v>
      </c>
      <c r="K55" s="96">
        <v>760</v>
      </c>
      <c r="L55" s="97">
        <v>0</v>
      </c>
      <c r="M55" s="95">
        <v>1924</v>
      </c>
      <c r="N55" s="96">
        <v>740</v>
      </c>
      <c r="O55" s="97">
        <v>0</v>
      </c>
      <c r="P55" s="95">
        <v>1450</v>
      </c>
      <c r="Q55" s="96">
        <v>512</v>
      </c>
      <c r="R55" s="97">
        <v>0</v>
      </c>
      <c r="S55" s="95">
        <v>610</v>
      </c>
      <c r="T55" s="96">
        <v>360</v>
      </c>
      <c r="U55" s="97">
        <v>0</v>
      </c>
      <c r="V55" s="95">
        <v>1330</v>
      </c>
      <c r="W55" s="96">
        <v>810</v>
      </c>
      <c r="X55" s="97">
        <v>0</v>
      </c>
      <c r="Y55" s="95">
        <v>770</v>
      </c>
      <c r="Z55" s="96">
        <v>330</v>
      </c>
      <c r="AA55" s="97">
        <v>0</v>
      </c>
      <c r="AB55" s="95">
        <v>1000</v>
      </c>
      <c r="AC55" s="96">
        <v>320</v>
      </c>
      <c r="AD55" s="97">
        <v>0</v>
      </c>
      <c r="AE55" s="95">
        <v>1620</v>
      </c>
      <c r="AF55" s="96">
        <v>610</v>
      </c>
      <c r="AG55" s="97">
        <v>0</v>
      </c>
      <c r="AH55" s="265">
        <f>+Janvier!AJ55</f>
        <v>1099.4093406593406</v>
      </c>
      <c r="AI55" s="231">
        <f>+Janvier!AK55</f>
        <v>3420.3846153846152</v>
      </c>
      <c r="AJ55" s="231">
        <f>+Janvier!AL55</f>
        <v>2565.2884615384614</v>
      </c>
      <c r="AK55" s="231">
        <f>+Janvier!AM55</f>
        <v>2565.2884615384614</v>
      </c>
      <c r="AL55" s="231">
        <f>+Janvier!AN55</f>
        <v>1554.7202797202797</v>
      </c>
      <c r="AM55" s="231">
        <f>+Janvier!AO55</f>
        <v>961.98317307692309</v>
      </c>
      <c r="AN55" s="231">
        <f>+Janvier!AP55</f>
        <v>1923.9663461538462</v>
      </c>
      <c r="AO55" s="231">
        <f>+Janvier!AQ55</f>
        <v>961.98317307692309</v>
      </c>
      <c r="AP55" s="231">
        <f>+Janvier!AR55</f>
        <v>961.98317307692309</v>
      </c>
      <c r="AQ55" s="231">
        <f>+Janvier!AS55</f>
        <v>1710.1923076923076</v>
      </c>
      <c r="AR55" s="16">
        <f t="shared" ref="AR55:AR67" si="97">ROUND(E55/(AH55/5),0)</f>
        <v>1</v>
      </c>
      <c r="AS55" s="16">
        <f t="shared" ref="AS55:AS67" si="98">ROUND(H55/(AI55/5),0)</f>
        <v>1</v>
      </c>
      <c r="AT55" s="16">
        <f t="shared" ref="AT55:AT67" si="99">ROUND(K55/(AJ55/5),0)</f>
        <v>1</v>
      </c>
      <c r="AU55" s="16">
        <f t="shared" ref="AU55:AU67" si="100">ROUND(N55/(AK55/5),0)</f>
        <v>1</v>
      </c>
      <c r="AV55" s="16">
        <f t="shared" ref="AV55:AV67" si="101">ROUND(Q55/(AL55/5),0)</f>
        <v>2</v>
      </c>
      <c r="AW55" s="16">
        <f t="shared" ref="AW55:AW67" si="102">ROUND(T55/(AM55/5),0)</f>
        <v>2</v>
      </c>
      <c r="AX55" s="16">
        <f t="shared" ref="AX55:AX67" si="103">ROUND(W55/(AN55/5),0)</f>
        <v>2</v>
      </c>
      <c r="AY55" s="16">
        <f t="shared" ref="AY55:AY67" si="104">ROUND(Z55/(AO55/5),0)</f>
        <v>2</v>
      </c>
      <c r="AZ55" s="16">
        <f t="shared" ref="AZ55:AZ67" si="105">ROUND(AC55/(AP55/5),0)</f>
        <v>2</v>
      </c>
      <c r="BA55" s="17">
        <f t="shared" ref="BA55:BA67" si="106">ROUND(AF55/(AQ55/5),0)</f>
        <v>2</v>
      </c>
    </row>
    <row r="56" spans="1:53" ht="15.6" x14ac:dyDescent="0.3">
      <c r="A56" s="199" t="s">
        <v>22</v>
      </c>
      <c r="B56" s="257">
        <v>43891</v>
      </c>
      <c r="C56" s="233">
        <v>43921</v>
      </c>
      <c r="D56" s="95">
        <v>480</v>
      </c>
      <c r="E56" s="96">
        <v>200</v>
      </c>
      <c r="F56" s="97">
        <v>0</v>
      </c>
      <c r="G56" s="95">
        <v>1800</v>
      </c>
      <c r="H56" s="96">
        <v>1040</v>
      </c>
      <c r="I56" s="97">
        <v>0</v>
      </c>
      <c r="J56" s="95">
        <v>1500</v>
      </c>
      <c r="K56" s="96">
        <v>730</v>
      </c>
      <c r="L56" s="97">
        <v>0</v>
      </c>
      <c r="M56" s="95">
        <v>1460</v>
      </c>
      <c r="N56" s="96">
        <v>800</v>
      </c>
      <c r="O56" s="97">
        <v>0</v>
      </c>
      <c r="P56" s="95">
        <v>650</v>
      </c>
      <c r="Q56" s="96">
        <v>300</v>
      </c>
      <c r="R56" s="97">
        <v>0</v>
      </c>
      <c r="S56" s="95">
        <v>730</v>
      </c>
      <c r="T56" s="96">
        <v>270</v>
      </c>
      <c r="U56" s="97">
        <v>0</v>
      </c>
      <c r="V56" s="95">
        <v>800</v>
      </c>
      <c r="W56" s="96">
        <v>580</v>
      </c>
      <c r="X56" s="97">
        <v>0</v>
      </c>
      <c r="Y56" s="95">
        <v>600</v>
      </c>
      <c r="Z56" s="96">
        <v>260</v>
      </c>
      <c r="AA56" s="97">
        <v>0</v>
      </c>
      <c r="AB56" s="95">
        <v>400</v>
      </c>
      <c r="AC56" s="96">
        <v>140</v>
      </c>
      <c r="AD56" s="97">
        <v>0</v>
      </c>
      <c r="AE56" s="95">
        <v>910</v>
      </c>
      <c r="AF56" s="96">
        <v>540</v>
      </c>
      <c r="AG56" s="97">
        <v>0</v>
      </c>
      <c r="AH56" s="265">
        <f>+Janvier!AJ56</f>
        <v>434.54670329670336</v>
      </c>
      <c r="AI56" s="231">
        <f>+Janvier!AK56</f>
        <v>1351.9230769230767</v>
      </c>
      <c r="AJ56" s="231">
        <f>+Janvier!AL56</f>
        <v>1013.9423076923077</v>
      </c>
      <c r="AK56" s="231">
        <f>+Janvier!AM56</f>
        <v>1013.9423076923077</v>
      </c>
      <c r="AL56" s="231">
        <f>+Janvier!AN56</f>
        <v>614.51048951048949</v>
      </c>
      <c r="AM56" s="231">
        <f>+Janvier!AO56</f>
        <v>380.22836538461542</v>
      </c>
      <c r="AN56" s="231">
        <f>+Janvier!AP56</f>
        <v>760.45673076923083</v>
      </c>
      <c r="AO56" s="231">
        <f>+Janvier!AQ56</f>
        <v>380.22836538461542</v>
      </c>
      <c r="AP56" s="231">
        <f>+Janvier!AR56</f>
        <v>380.22836538461542</v>
      </c>
      <c r="AQ56" s="231">
        <f>+Janvier!AS56</f>
        <v>675.96153846153834</v>
      </c>
      <c r="AR56" s="16">
        <f t="shared" si="97"/>
        <v>2</v>
      </c>
      <c r="AS56" s="16">
        <f t="shared" si="98"/>
        <v>4</v>
      </c>
      <c r="AT56" s="16">
        <f t="shared" si="99"/>
        <v>4</v>
      </c>
      <c r="AU56" s="16">
        <f t="shared" si="100"/>
        <v>4</v>
      </c>
      <c r="AV56" s="16">
        <f t="shared" si="101"/>
        <v>2</v>
      </c>
      <c r="AW56" s="16">
        <f t="shared" si="102"/>
        <v>4</v>
      </c>
      <c r="AX56" s="16">
        <f t="shared" si="103"/>
        <v>4</v>
      </c>
      <c r="AY56" s="16">
        <f t="shared" si="104"/>
        <v>3</v>
      </c>
      <c r="AZ56" s="16">
        <f t="shared" si="105"/>
        <v>2</v>
      </c>
      <c r="BA56" s="17">
        <f t="shared" si="106"/>
        <v>4</v>
      </c>
    </row>
    <row r="57" spans="1:53" ht="15.6" x14ac:dyDescent="0.3">
      <c r="A57" s="199" t="s">
        <v>25</v>
      </c>
      <c r="B57" s="257">
        <v>43891</v>
      </c>
      <c r="C57" s="233">
        <v>43921</v>
      </c>
      <c r="D57" s="95">
        <v>1060</v>
      </c>
      <c r="E57" s="96">
        <v>540</v>
      </c>
      <c r="F57" s="97">
        <v>0</v>
      </c>
      <c r="G57" s="95">
        <v>2000</v>
      </c>
      <c r="H57" s="96">
        <v>1740</v>
      </c>
      <c r="I57" s="97">
        <v>0</v>
      </c>
      <c r="J57" s="95">
        <v>1950</v>
      </c>
      <c r="K57" s="96">
        <v>1400</v>
      </c>
      <c r="L57" s="97">
        <v>0</v>
      </c>
      <c r="M57" s="95">
        <v>484</v>
      </c>
      <c r="N57" s="96">
        <v>1840</v>
      </c>
      <c r="O57" s="97">
        <v>0</v>
      </c>
      <c r="P57" s="95">
        <v>1000</v>
      </c>
      <c r="Q57" s="96">
        <v>671</v>
      </c>
      <c r="R57" s="97">
        <v>0</v>
      </c>
      <c r="S57" s="95">
        <v>430</v>
      </c>
      <c r="T57" s="96">
        <v>360</v>
      </c>
      <c r="U57" s="97">
        <v>0</v>
      </c>
      <c r="V57" s="95">
        <v>1080</v>
      </c>
      <c r="W57" s="96">
        <v>1460</v>
      </c>
      <c r="X57" s="97">
        <v>0</v>
      </c>
      <c r="Y57" s="95">
        <v>520</v>
      </c>
      <c r="Z57" s="96">
        <v>640</v>
      </c>
      <c r="AA57" s="97">
        <v>0</v>
      </c>
      <c r="AB57" s="95">
        <v>800</v>
      </c>
      <c r="AC57" s="96">
        <v>570</v>
      </c>
      <c r="AD57" s="97">
        <v>0</v>
      </c>
      <c r="AE57" s="95">
        <v>640</v>
      </c>
      <c r="AF57" s="96">
        <v>640</v>
      </c>
      <c r="AG57" s="97">
        <v>0</v>
      </c>
      <c r="AH57" s="265">
        <f>+Janvier!AJ57</f>
        <v>816.30494505494516</v>
      </c>
      <c r="AI57" s="231">
        <f>+Janvier!AK57</f>
        <v>2539.6153846153848</v>
      </c>
      <c r="AJ57" s="231">
        <f>+Janvier!AL57</f>
        <v>1904.7115384615383</v>
      </c>
      <c r="AK57" s="231">
        <f>+Janvier!AM57</f>
        <v>1904.7115384615383</v>
      </c>
      <c r="AL57" s="231">
        <f>+Janvier!AN57</f>
        <v>1154.3706293706296</v>
      </c>
      <c r="AM57" s="231">
        <f>+Janvier!AO57</f>
        <v>714.26682692307691</v>
      </c>
      <c r="AN57" s="231">
        <f>+Janvier!AP57</f>
        <v>1428.5336538461538</v>
      </c>
      <c r="AO57" s="231">
        <f>+Janvier!AQ57</f>
        <v>714.26682692307691</v>
      </c>
      <c r="AP57" s="231">
        <f>+Janvier!AR57</f>
        <v>714.26682692307691</v>
      </c>
      <c r="AQ57" s="231">
        <f>+Janvier!AS57</f>
        <v>1269.8076923076924</v>
      </c>
      <c r="AR57" s="16">
        <f t="shared" si="97"/>
        <v>3</v>
      </c>
      <c r="AS57" s="16">
        <f t="shared" si="98"/>
        <v>3</v>
      </c>
      <c r="AT57" s="16">
        <f t="shared" si="99"/>
        <v>4</v>
      </c>
      <c r="AU57" s="16">
        <f t="shared" si="100"/>
        <v>5</v>
      </c>
      <c r="AV57" s="16">
        <f t="shared" si="101"/>
        <v>3</v>
      </c>
      <c r="AW57" s="16">
        <f t="shared" si="102"/>
        <v>3</v>
      </c>
      <c r="AX57" s="16">
        <f t="shared" si="103"/>
        <v>5</v>
      </c>
      <c r="AY57" s="16">
        <f t="shared" si="104"/>
        <v>4</v>
      </c>
      <c r="AZ57" s="16">
        <f t="shared" si="105"/>
        <v>4</v>
      </c>
      <c r="BA57" s="17">
        <f t="shared" si="106"/>
        <v>3</v>
      </c>
    </row>
    <row r="58" spans="1:53" ht="15.6" x14ac:dyDescent="0.3">
      <c r="A58" s="199" t="s">
        <v>23</v>
      </c>
      <c r="B58" s="257">
        <v>43891</v>
      </c>
      <c r="C58" s="233">
        <v>43921</v>
      </c>
      <c r="D58" s="95">
        <v>560</v>
      </c>
      <c r="E58" s="96">
        <v>240</v>
      </c>
      <c r="F58" s="97">
        <v>0</v>
      </c>
      <c r="G58" s="95">
        <v>2000</v>
      </c>
      <c r="H58" s="96">
        <v>760</v>
      </c>
      <c r="I58" s="97">
        <v>0</v>
      </c>
      <c r="J58" s="95">
        <v>2000</v>
      </c>
      <c r="K58" s="96">
        <v>1060</v>
      </c>
      <c r="L58" s="97">
        <v>0</v>
      </c>
      <c r="M58" s="95">
        <v>1052</v>
      </c>
      <c r="N58" s="96">
        <v>388</v>
      </c>
      <c r="O58" s="97">
        <v>0</v>
      </c>
      <c r="P58" s="95">
        <v>650</v>
      </c>
      <c r="Q58" s="96">
        <v>280</v>
      </c>
      <c r="R58" s="97">
        <v>0</v>
      </c>
      <c r="S58" s="95">
        <v>870</v>
      </c>
      <c r="T58" s="96">
        <v>310</v>
      </c>
      <c r="U58" s="97">
        <v>0</v>
      </c>
      <c r="V58" s="95">
        <v>400</v>
      </c>
      <c r="W58" s="96">
        <v>410</v>
      </c>
      <c r="X58" s="97">
        <v>0</v>
      </c>
      <c r="Y58" s="95">
        <v>500</v>
      </c>
      <c r="Z58" s="96">
        <v>130</v>
      </c>
      <c r="AA58" s="97">
        <v>0</v>
      </c>
      <c r="AB58" s="95">
        <v>400</v>
      </c>
      <c r="AC58" s="96">
        <v>0</v>
      </c>
      <c r="AD58" s="97">
        <v>2</v>
      </c>
      <c r="AE58" s="95">
        <v>800</v>
      </c>
      <c r="AF58" s="96">
        <v>520</v>
      </c>
      <c r="AG58" s="97">
        <v>0</v>
      </c>
      <c r="AH58" s="265">
        <f>+Janvier!AJ58</f>
        <v>510.08241758241758</v>
      </c>
      <c r="AI58" s="231">
        <f>+Janvier!AK58</f>
        <v>1586.9230769230767</v>
      </c>
      <c r="AJ58" s="231">
        <f>+Janvier!AL58</f>
        <v>1190.1923076923078</v>
      </c>
      <c r="AK58" s="231">
        <f>+Janvier!AM58</f>
        <v>1190.1923076923078</v>
      </c>
      <c r="AL58" s="231">
        <f>+Janvier!AN58</f>
        <v>721.32867132867148</v>
      </c>
      <c r="AM58" s="231">
        <f>+Janvier!AO58</f>
        <v>446.32211538461542</v>
      </c>
      <c r="AN58" s="231">
        <f>+Janvier!AP58</f>
        <v>892.64423076923083</v>
      </c>
      <c r="AO58" s="231">
        <f>+Janvier!AQ58</f>
        <v>446.32211538461542</v>
      </c>
      <c r="AP58" s="231">
        <f>+Janvier!AR58</f>
        <v>446.32211538461542</v>
      </c>
      <c r="AQ58" s="231">
        <f>+Janvier!AS58</f>
        <v>793.46153846153834</v>
      </c>
      <c r="AR58" s="16">
        <f t="shared" si="97"/>
        <v>2</v>
      </c>
      <c r="AS58" s="16">
        <f t="shared" si="98"/>
        <v>2</v>
      </c>
      <c r="AT58" s="16">
        <f t="shared" si="99"/>
        <v>4</v>
      </c>
      <c r="AU58" s="16">
        <f t="shared" si="100"/>
        <v>2</v>
      </c>
      <c r="AV58" s="16">
        <f t="shared" si="101"/>
        <v>2</v>
      </c>
      <c r="AW58" s="16">
        <f t="shared" si="102"/>
        <v>3</v>
      </c>
      <c r="AX58" s="16">
        <f t="shared" si="103"/>
        <v>2</v>
      </c>
      <c r="AY58" s="16">
        <f t="shared" si="104"/>
        <v>1</v>
      </c>
      <c r="AZ58" s="16">
        <f t="shared" si="105"/>
        <v>0</v>
      </c>
      <c r="BA58" s="17">
        <f t="shared" si="106"/>
        <v>3</v>
      </c>
    </row>
    <row r="59" spans="1:53" ht="15.6" x14ac:dyDescent="0.3">
      <c r="A59" s="199" t="s">
        <v>24</v>
      </c>
      <c r="B59" s="257">
        <v>43891</v>
      </c>
      <c r="C59" s="233">
        <v>43921</v>
      </c>
      <c r="D59" s="95">
        <v>700</v>
      </c>
      <c r="E59" s="96">
        <v>260</v>
      </c>
      <c r="F59" s="97">
        <v>0</v>
      </c>
      <c r="G59" s="95">
        <v>1900</v>
      </c>
      <c r="H59" s="96">
        <v>600</v>
      </c>
      <c r="I59" s="97">
        <v>0</v>
      </c>
      <c r="J59" s="95">
        <v>1500</v>
      </c>
      <c r="K59" s="96">
        <v>480</v>
      </c>
      <c r="L59" s="97">
        <v>0</v>
      </c>
      <c r="M59" s="95">
        <v>1500</v>
      </c>
      <c r="N59" s="96">
        <v>680</v>
      </c>
      <c r="O59" s="97">
        <v>0</v>
      </c>
      <c r="P59" s="95">
        <v>600</v>
      </c>
      <c r="Q59" s="96">
        <v>315</v>
      </c>
      <c r="R59" s="97">
        <v>0</v>
      </c>
      <c r="S59" s="95">
        <v>500</v>
      </c>
      <c r="T59" s="96">
        <v>170</v>
      </c>
      <c r="U59" s="97">
        <v>0</v>
      </c>
      <c r="V59" s="95">
        <v>700</v>
      </c>
      <c r="W59" s="96">
        <v>470</v>
      </c>
      <c r="X59" s="97">
        <v>0</v>
      </c>
      <c r="Y59" s="95">
        <v>580</v>
      </c>
      <c r="Z59" s="96">
        <v>260</v>
      </c>
      <c r="AA59" s="97">
        <v>0</v>
      </c>
      <c r="AB59" s="95">
        <v>200</v>
      </c>
      <c r="AC59" s="96">
        <v>20</v>
      </c>
      <c r="AD59" s="97">
        <v>0</v>
      </c>
      <c r="AE59" s="95">
        <v>1100</v>
      </c>
      <c r="AF59" s="96">
        <v>440</v>
      </c>
      <c r="AG59" s="97">
        <v>0</v>
      </c>
      <c r="AH59" s="265">
        <f>+Janvier!AJ59</f>
        <v>646.8131868131868</v>
      </c>
      <c r="AI59" s="231">
        <f>+Janvier!AK59</f>
        <v>2012.3076923076924</v>
      </c>
      <c r="AJ59" s="231">
        <f>+Janvier!AL59</f>
        <v>1509.2307692307693</v>
      </c>
      <c r="AK59" s="231">
        <f>+Janvier!AM59</f>
        <v>1509.2307692307693</v>
      </c>
      <c r="AL59" s="231">
        <f>+Janvier!AN59</f>
        <v>914.68531468531478</v>
      </c>
      <c r="AM59" s="231">
        <f>+Janvier!AO59</f>
        <v>565.96153846153845</v>
      </c>
      <c r="AN59" s="231">
        <f>+Janvier!AP59</f>
        <v>1131.9230769230769</v>
      </c>
      <c r="AO59" s="231">
        <f>+Janvier!AQ59</f>
        <v>565.96153846153845</v>
      </c>
      <c r="AP59" s="231">
        <f>+Janvier!AR59</f>
        <v>565.96153846153845</v>
      </c>
      <c r="AQ59" s="231">
        <f>+Janvier!AS59</f>
        <v>1006.1538461538462</v>
      </c>
      <c r="AR59" s="16">
        <f t="shared" si="97"/>
        <v>2</v>
      </c>
      <c r="AS59" s="16">
        <f t="shared" si="98"/>
        <v>1</v>
      </c>
      <c r="AT59" s="16">
        <f t="shared" si="99"/>
        <v>2</v>
      </c>
      <c r="AU59" s="16">
        <f t="shared" si="100"/>
        <v>2</v>
      </c>
      <c r="AV59" s="16">
        <f t="shared" si="101"/>
        <v>2</v>
      </c>
      <c r="AW59" s="16">
        <f t="shared" si="102"/>
        <v>2</v>
      </c>
      <c r="AX59" s="16">
        <f t="shared" si="103"/>
        <v>2</v>
      </c>
      <c r="AY59" s="16">
        <f t="shared" si="104"/>
        <v>2</v>
      </c>
      <c r="AZ59" s="16">
        <f t="shared" si="105"/>
        <v>0</v>
      </c>
      <c r="BA59" s="17">
        <f t="shared" si="106"/>
        <v>2</v>
      </c>
    </row>
    <row r="60" spans="1:53" ht="15.6" x14ac:dyDescent="0.3">
      <c r="A60" s="199" t="s">
        <v>26</v>
      </c>
      <c r="B60" s="257">
        <v>43891</v>
      </c>
      <c r="C60" s="233">
        <v>43921</v>
      </c>
      <c r="D60" s="95">
        <v>1200</v>
      </c>
      <c r="E60" s="96">
        <v>740</v>
      </c>
      <c r="F60" s="97">
        <v>0</v>
      </c>
      <c r="G60" s="95">
        <v>4000</v>
      </c>
      <c r="H60" s="96">
        <v>2220</v>
      </c>
      <c r="I60" s="97">
        <v>0</v>
      </c>
      <c r="J60" s="95">
        <v>3500</v>
      </c>
      <c r="K60" s="96">
        <v>1900</v>
      </c>
      <c r="L60" s="97">
        <v>0</v>
      </c>
      <c r="M60" s="95">
        <v>3400</v>
      </c>
      <c r="N60" s="96">
        <v>2000</v>
      </c>
      <c r="O60" s="97">
        <v>0</v>
      </c>
      <c r="P60" s="95">
        <v>2150</v>
      </c>
      <c r="Q60" s="96">
        <v>1072</v>
      </c>
      <c r="R60" s="97">
        <v>0</v>
      </c>
      <c r="S60" s="95">
        <v>1200</v>
      </c>
      <c r="T60" s="96">
        <v>720</v>
      </c>
      <c r="U60" s="97">
        <v>0</v>
      </c>
      <c r="V60" s="95">
        <v>2000</v>
      </c>
      <c r="W60" s="96">
        <v>1670</v>
      </c>
      <c r="X60" s="97">
        <v>0</v>
      </c>
      <c r="Y60" s="95">
        <v>1290</v>
      </c>
      <c r="Z60" s="96">
        <v>950</v>
      </c>
      <c r="AA60" s="97">
        <v>0</v>
      </c>
      <c r="AB60" s="95">
        <v>1000</v>
      </c>
      <c r="AC60" s="96">
        <v>0</v>
      </c>
      <c r="AD60" s="97">
        <v>3</v>
      </c>
      <c r="AE60" s="95">
        <v>2000</v>
      </c>
      <c r="AF60" s="96">
        <v>1370</v>
      </c>
      <c r="AG60" s="97">
        <v>0</v>
      </c>
      <c r="AH60" s="265">
        <f>+Janvier!AJ60</f>
        <v>2337.1565934065934</v>
      </c>
      <c r="AI60" s="231">
        <f>+Janvier!AK60</f>
        <v>7271.1538461538466</v>
      </c>
      <c r="AJ60" s="231">
        <f>+Janvier!AL60</f>
        <v>5453.3653846153848</v>
      </c>
      <c r="AK60" s="231">
        <f>+Janvier!AM60</f>
        <v>5453.3653846153848</v>
      </c>
      <c r="AL60" s="231">
        <f>+Janvier!AN60</f>
        <v>3305.0699300699303</v>
      </c>
      <c r="AM60" s="231">
        <f>+Janvier!AO60</f>
        <v>2045.0120192307693</v>
      </c>
      <c r="AN60" s="231">
        <f>+Janvier!AP60</f>
        <v>4090.0240384615386</v>
      </c>
      <c r="AO60" s="231">
        <f>+Janvier!AQ60</f>
        <v>2045.0120192307693</v>
      </c>
      <c r="AP60" s="231">
        <f>+Janvier!AR60</f>
        <v>2045.0120192307693</v>
      </c>
      <c r="AQ60" s="231">
        <f>+Janvier!AS60</f>
        <v>3635.5769230769233</v>
      </c>
      <c r="AR60" s="16">
        <f t="shared" si="97"/>
        <v>2</v>
      </c>
      <c r="AS60" s="16">
        <f t="shared" si="98"/>
        <v>2</v>
      </c>
      <c r="AT60" s="16">
        <f t="shared" si="99"/>
        <v>2</v>
      </c>
      <c r="AU60" s="16">
        <f t="shared" si="100"/>
        <v>2</v>
      </c>
      <c r="AV60" s="16">
        <f t="shared" si="101"/>
        <v>2</v>
      </c>
      <c r="AW60" s="16">
        <f t="shared" si="102"/>
        <v>2</v>
      </c>
      <c r="AX60" s="16">
        <f t="shared" si="103"/>
        <v>2</v>
      </c>
      <c r="AY60" s="16">
        <f t="shared" si="104"/>
        <v>2</v>
      </c>
      <c r="AZ60" s="16">
        <f t="shared" si="105"/>
        <v>0</v>
      </c>
      <c r="BA60" s="17">
        <f t="shared" si="106"/>
        <v>2</v>
      </c>
    </row>
    <row r="61" spans="1:53" ht="15.6" x14ac:dyDescent="0.3">
      <c r="A61" s="199" t="s">
        <v>27</v>
      </c>
      <c r="B61" s="257">
        <v>43891</v>
      </c>
      <c r="C61" s="233">
        <v>43921</v>
      </c>
      <c r="D61" s="95">
        <v>1640</v>
      </c>
      <c r="E61" s="96">
        <v>540</v>
      </c>
      <c r="F61" s="97">
        <v>0</v>
      </c>
      <c r="G61" s="95">
        <v>4420</v>
      </c>
      <c r="H61" s="96">
        <v>1920</v>
      </c>
      <c r="I61" s="97">
        <v>0</v>
      </c>
      <c r="J61" s="95">
        <v>3000</v>
      </c>
      <c r="K61" s="96">
        <v>1390</v>
      </c>
      <c r="L61" s="97">
        <v>0</v>
      </c>
      <c r="M61" s="95">
        <v>2612</v>
      </c>
      <c r="N61" s="96">
        <v>1600</v>
      </c>
      <c r="O61" s="97">
        <v>0</v>
      </c>
      <c r="P61" s="95">
        <v>1950</v>
      </c>
      <c r="Q61" s="96">
        <v>900</v>
      </c>
      <c r="R61" s="97">
        <v>0</v>
      </c>
      <c r="S61" s="95">
        <v>1000</v>
      </c>
      <c r="T61" s="96">
        <v>510</v>
      </c>
      <c r="U61" s="97">
        <v>0</v>
      </c>
      <c r="V61" s="95">
        <v>2000</v>
      </c>
      <c r="W61" s="96">
        <v>1350</v>
      </c>
      <c r="X61" s="97">
        <v>0</v>
      </c>
      <c r="Y61" s="95">
        <v>1180</v>
      </c>
      <c r="Z61" s="96">
        <v>570</v>
      </c>
      <c r="AA61" s="97">
        <v>0</v>
      </c>
      <c r="AB61" s="95">
        <v>100</v>
      </c>
      <c r="AC61" s="96">
        <v>80</v>
      </c>
      <c r="AD61" s="97">
        <v>0</v>
      </c>
      <c r="AE61" s="95">
        <v>2300</v>
      </c>
      <c r="AF61" s="96">
        <v>1500</v>
      </c>
      <c r="AG61" s="97">
        <v>0</v>
      </c>
      <c r="AH61" s="265">
        <f>+Janvier!AJ61</f>
        <v>1836.5934065934064</v>
      </c>
      <c r="AI61" s="231">
        <f>+Janvier!AK61</f>
        <v>5713.8461538461534</v>
      </c>
      <c r="AJ61" s="231">
        <f>+Janvier!AL61</f>
        <v>4285.3846153846152</v>
      </c>
      <c r="AK61" s="231">
        <f>+Janvier!AM61</f>
        <v>4285.3846153846152</v>
      </c>
      <c r="AL61" s="231">
        <f>+Janvier!AN61</f>
        <v>2597.2027972027972</v>
      </c>
      <c r="AM61" s="231">
        <f>+Janvier!AO61</f>
        <v>1607.0192307692307</v>
      </c>
      <c r="AN61" s="231">
        <f>+Janvier!AP61</f>
        <v>3214.0384615384614</v>
      </c>
      <c r="AO61" s="231">
        <f>+Janvier!AQ61</f>
        <v>1607.0192307692307</v>
      </c>
      <c r="AP61" s="231">
        <f>+Janvier!AR61</f>
        <v>1607.0192307692307</v>
      </c>
      <c r="AQ61" s="231">
        <f>+Janvier!AS61</f>
        <v>2856.9230769230767</v>
      </c>
      <c r="AR61" s="16">
        <f t="shared" si="97"/>
        <v>1</v>
      </c>
      <c r="AS61" s="16">
        <f t="shared" si="98"/>
        <v>2</v>
      </c>
      <c r="AT61" s="16">
        <f t="shared" si="99"/>
        <v>2</v>
      </c>
      <c r="AU61" s="16">
        <f t="shared" si="100"/>
        <v>2</v>
      </c>
      <c r="AV61" s="16">
        <f t="shared" si="101"/>
        <v>2</v>
      </c>
      <c r="AW61" s="16">
        <f t="shared" si="102"/>
        <v>2</v>
      </c>
      <c r="AX61" s="16">
        <f t="shared" si="103"/>
        <v>2</v>
      </c>
      <c r="AY61" s="16">
        <f t="shared" si="104"/>
        <v>2</v>
      </c>
      <c r="AZ61" s="16">
        <f t="shared" si="105"/>
        <v>0</v>
      </c>
      <c r="BA61" s="17">
        <f t="shared" si="106"/>
        <v>3</v>
      </c>
    </row>
    <row r="62" spans="1:53" ht="15.6" x14ac:dyDescent="0.3">
      <c r="A62" s="199" t="s">
        <v>28</v>
      </c>
      <c r="B62" s="257">
        <v>43891</v>
      </c>
      <c r="C62" s="233">
        <v>43921</v>
      </c>
      <c r="D62" s="95">
        <v>2800</v>
      </c>
      <c r="E62" s="98">
        <v>2620</v>
      </c>
      <c r="F62" s="97">
        <v>0</v>
      </c>
      <c r="G62" s="99">
        <v>6600</v>
      </c>
      <c r="H62" s="98">
        <v>10800</v>
      </c>
      <c r="I62" s="97">
        <v>0</v>
      </c>
      <c r="J62" s="99">
        <v>6400</v>
      </c>
      <c r="K62" s="98">
        <v>6100</v>
      </c>
      <c r="L62" s="97">
        <v>0</v>
      </c>
      <c r="M62" s="99">
        <v>4580</v>
      </c>
      <c r="N62" s="98">
        <v>7380</v>
      </c>
      <c r="O62" s="97">
        <v>0</v>
      </c>
      <c r="P62" s="99">
        <v>3150</v>
      </c>
      <c r="Q62" s="98">
        <v>4950</v>
      </c>
      <c r="R62" s="97">
        <v>0</v>
      </c>
      <c r="S62" s="99">
        <v>2500</v>
      </c>
      <c r="T62" s="98">
        <v>2560</v>
      </c>
      <c r="U62" s="97">
        <v>0</v>
      </c>
      <c r="V62" s="99">
        <v>4120</v>
      </c>
      <c r="W62" s="98">
        <v>5000</v>
      </c>
      <c r="X62" s="97">
        <v>0</v>
      </c>
      <c r="Y62" s="99">
        <v>2500</v>
      </c>
      <c r="Z62" s="98">
        <v>1800</v>
      </c>
      <c r="AA62" s="97">
        <v>0</v>
      </c>
      <c r="AB62" s="95">
        <v>1000</v>
      </c>
      <c r="AC62" s="98">
        <v>2000</v>
      </c>
      <c r="AD62" s="100">
        <v>0</v>
      </c>
      <c r="AE62" s="99">
        <v>3100</v>
      </c>
      <c r="AF62" s="98">
        <v>3350</v>
      </c>
      <c r="AG62" s="97">
        <v>0</v>
      </c>
      <c r="AH62" s="265">
        <f>+Janvier!AJ62</f>
        <v>3546.2225274725279</v>
      </c>
      <c r="AI62" s="231">
        <f>+Janvier!AK62</f>
        <v>11032.692307692307</v>
      </c>
      <c r="AJ62" s="231">
        <f>+Janvier!AL62</f>
        <v>8274.5192307692305</v>
      </c>
      <c r="AK62" s="231">
        <f>+Janvier!AM62</f>
        <v>8274.5192307692305</v>
      </c>
      <c r="AL62" s="231">
        <f>+Janvier!AN62</f>
        <v>5014.8601398601395</v>
      </c>
      <c r="AM62" s="231">
        <f>+Janvier!AO62</f>
        <v>3102.9447115384614</v>
      </c>
      <c r="AN62" s="231">
        <f>+Janvier!AP62</f>
        <v>6205.8894230769229</v>
      </c>
      <c r="AO62" s="231">
        <f>+Janvier!AQ62</f>
        <v>3102.9447115384614</v>
      </c>
      <c r="AP62" s="231">
        <f>+Janvier!AR62</f>
        <v>3102.9447115384614</v>
      </c>
      <c r="AQ62" s="231">
        <f>+Janvier!AS62</f>
        <v>5516.3461538461534</v>
      </c>
      <c r="AR62" s="16">
        <f t="shared" si="97"/>
        <v>4</v>
      </c>
      <c r="AS62" s="16">
        <f t="shared" si="98"/>
        <v>5</v>
      </c>
      <c r="AT62" s="16">
        <f t="shared" si="99"/>
        <v>4</v>
      </c>
      <c r="AU62" s="16">
        <f t="shared" si="100"/>
        <v>4</v>
      </c>
      <c r="AV62" s="16">
        <f t="shared" si="101"/>
        <v>5</v>
      </c>
      <c r="AW62" s="16">
        <f t="shared" si="102"/>
        <v>4</v>
      </c>
      <c r="AX62" s="16">
        <f t="shared" si="103"/>
        <v>4</v>
      </c>
      <c r="AY62" s="16">
        <f t="shared" si="104"/>
        <v>3</v>
      </c>
      <c r="AZ62" s="16">
        <f t="shared" si="105"/>
        <v>3</v>
      </c>
      <c r="BA62" s="17">
        <f t="shared" si="106"/>
        <v>3</v>
      </c>
    </row>
    <row r="63" spans="1:53" ht="15.6" x14ac:dyDescent="0.3">
      <c r="A63" s="199" t="s">
        <v>29</v>
      </c>
      <c r="B63" s="257">
        <v>43891</v>
      </c>
      <c r="C63" s="233">
        <v>43921</v>
      </c>
      <c r="D63" s="95">
        <v>2260</v>
      </c>
      <c r="E63" s="98">
        <v>1360</v>
      </c>
      <c r="F63" s="97">
        <v>0</v>
      </c>
      <c r="G63" s="99">
        <v>4700</v>
      </c>
      <c r="H63" s="98">
        <v>3240</v>
      </c>
      <c r="I63" s="97">
        <v>0</v>
      </c>
      <c r="J63" s="99">
        <v>3500</v>
      </c>
      <c r="K63" s="98">
        <v>2300</v>
      </c>
      <c r="L63" s="97">
        <v>0</v>
      </c>
      <c r="M63" s="99">
        <v>3700</v>
      </c>
      <c r="N63" s="98">
        <v>2568</v>
      </c>
      <c r="O63" s="97">
        <v>0</v>
      </c>
      <c r="P63" s="99">
        <v>2300</v>
      </c>
      <c r="Q63" s="98">
        <v>1617</v>
      </c>
      <c r="R63" s="97">
        <v>0</v>
      </c>
      <c r="S63" s="99">
        <v>1430</v>
      </c>
      <c r="T63" s="98">
        <v>860</v>
      </c>
      <c r="U63" s="97">
        <v>0</v>
      </c>
      <c r="V63" s="99">
        <v>2920</v>
      </c>
      <c r="W63" s="98">
        <v>1650</v>
      </c>
      <c r="X63" s="97">
        <v>0</v>
      </c>
      <c r="Y63" s="99">
        <v>1240</v>
      </c>
      <c r="Z63" s="98">
        <v>660</v>
      </c>
      <c r="AA63" s="97">
        <v>0</v>
      </c>
      <c r="AB63" s="95">
        <v>700</v>
      </c>
      <c r="AC63" s="98">
        <v>60</v>
      </c>
      <c r="AD63" s="97">
        <v>0</v>
      </c>
      <c r="AE63" s="99">
        <v>2000</v>
      </c>
      <c r="AF63" s="98">
        <v>1660</v>
      </c>
      <c r="AG63" s="97">
        <v>0</v>
      </c>
      <c r="AH63" s="265">
        <f>+Janvier!AJ63</f>
        <v>2493.4203296703299</v>
      </c>
      <c r="AI63" s="231">
        <f>+Janvier!AK63</f>
        <v>7757.3076923076942</v>
      </c>
      <c r="AJ63" s="231">
        <f>+Janvier!AL63</f>
        <v>5817.9807692307704</v>
      </c>
      <c r="AK63" s="231">
        <f>+Janvier!AM63</f>
        <v>5817.9807692307704</v>
      </c>
      <c r="AL63" s="231">
        <f>+Janvier!AN63</f>
        <v>3526.0489510489515</v>
      </c>
      <c r="AM63" s="231">
        <f>+Janvier!AO63</f>
        <v>2181.7427884615386</v>
      </c>
      <c r="AN63" s="231">
        <f>+Janvier!AP63</f>
        <v>4363.4855769230771</v>
      </c>
      <c r="AO63" s="231">
        <f>+Janvier!AQ63</f>
        <v>2181.7427884615386</v>
      </c>
      <c r="AP63" s="231">
        <f>+Janvier!AR63</f>
        <v>2181.7427884615386</v>
      </c>
      <c r="AQ63" s="231">
        <f>+Janvier!AS63</f>
        <v>3878.6538461538471</v>
      </c>
      <c r="AR63" s="16">
        <f t="shared" si="97"/>
        <v>3</v>
      </c>
      <c r="AS63" s="16">
        <f t="shared" si="98"/>
        <v>2</v>
      </c>
      <c r="AT63" s="16">
        <f t="shared" si="99"/>
        <v>2</v>
      </c>
      <c r="AU63" s="16">
        <f t="shared" si="100"/>
        <v>2</v>
      </c>
      <c r="AV63" s="16">
        <f t="shared" si="101"/>
        <v>2</v>
      </c>
      <c r="AW63" s="16">
        <f t="shared" si="102"/>
        <v>2</v>
      </c>
      <c r="AX63" s="16">
        <f t="shared" si="103"/>
        <v>2</v>
      </c>
      <c r="AY63" s="16">
        <f t="shared" si="104"/>
        <v>2</v>
      </c>
      <c r="AZ63" s="16">
        <f t="shared" si="105"/>
        <v>0</v>
      </c>
      <c r="BA63" s="17">
        <f t="shared" si="106"/>
        <v>2</v>
      </c>
    </row>
    <row r="64" spans="1:53" ht="15.6" x14ac:dyDescent="0.3">
      <c r="A64" s="199" t="s">
        <v>30</v>
      </c>
      <c r="B64" s="257">
        <v>43891</v>
      </c>
      <c r="C64" s="233">
        <v>43921</v>
      </c>
      <c r="D64" s="95">
        <v>1000</v>
      </c>
      <c r="E64" s="98">
        <v>700</v>
      </c>
      <c r="F64" s="97">
        <v>0</v>
      </c>
      <c r="G64" s="99">
        <v>3000</v>
      </c>
      <c r="H64" s="98">
        <v>1660</v>
      </c>
      <c r="I64" s="97">
        <v>0</v>
      </c>
      <c r="J64" s="99">
        <v>2200</v>
      </c>
      <c r="K64" s="98">
        <v>1200</v>
      </c>
      <c r="L64" s="97">
        <v>0</v>
      </c>
      <c r="M64" s="99">
        <v>2000</v>
      </c>
      <c r="N64" s="98">
        <v>1200</v>
      </c>
      <c r="O64" s="97">
        <v>0</v>
      </c>
      <c r="P64" s="99">
        <v>1500</v>
      </c>
      <c r="Q64" s="98">
        <v>1194</v>
      </c>
      <c r="R64" s="97">
        <v>0</v>
      </c>
      <c r="S64" s="99">
        <v>100</v>
      </c>
      <c r="T64" s="98">
        <v>460</v>
      </c>
      <c r="U64" s="97">
        <v>0</v>
      </c>
      <c r="V64" s="99">
        <v>1000</v>
      </c>
      <c r="W64" s="98">
        <v>1270</v>
      </c>
      <c r="X64" s="97">
        <v>0</v>
      </c>
      <c r="Y64" s="99">
        <v>1500</v>
      </c>
      <c r="Z64" s="98">
        <v>440</v>
      </c>
      <c r="AA64" s="97">
        <v>0</v>
      </c>
      <c r="AB64" s="95">
        <v>100</v>
      </c>
      <c r="AC64" s="98">
        <v>250</v>
      </c>
      <c r="AD64" s="97">
        <v>0</v>
      </c>
      <c r="AE64" s="99">
        <v>1000</v>
      </c>
      <c r="AF64" s="98">
        <v>1360</v>
      </c>
      <c r="AG64" s="97">
        <v>0</v>
      </c>
      <c r="AH64" s="265">
        <f>+Janvier!AJ64</f>
        <v>1338.1318681318683</v>
      </c>
      <c r="AI64" s="231">
        <f>+Janvier!AK64</f>
        <v>4163.0769230769229</v>
      </c>
      <c r="AJ64" s="231">
        <f>+Janvier!AL64</f>
        <v>3122.3076923076928</v>
      </c>
      <c r="AK64" s="231">
        <f>+Janvier!AM64</f>
        <v>3122.3076923076928</v>
      </c>
      <c r="AL64" s="231">
        <f>+Janvier!AN64</f>
        <v>1892.3076923076926</v>
      </c>
      <c r="AM64" s="231">
        <f>+Janvier!AO64</f>
        <v>1170.8653846153848</v>
      </c>
      <c r="AN64" s="231">
        <f>+Janvier!AP64</f>
        <v>2341.7307692307695</v>
      </c>
      <c r="AO64" s="231">
        <f>+Janvier!AQ64</f>
        <v>1170.8653846153848</v>
      </c>
      <c r="AP64" s="231">
        <f>+Janvier!AR64</f>
        <v>1170.8653846153848</v>
      </c>
      <c r="AQ64" s="231">
        <f>+Janvier!AS64</f>
        <v>2081.5384615384614</v>
      </c>
      <c r="AR64" s="16">
        <f t="shared" si="97"/>
        <v>3</v>
      </c>
      <c r="AS64" s="16">
        <f t="shared" si="98"/>
        <v>2</v>
      </c>
      <c r="AT64" s="16">
        <f t="shared" si="99"/>
        <v>2</v>
      </c>
      <c r="AU64" s="16">
        <f t="shared" si="100"/>
        <v>2</v>
      </c>
      <c r="AV64" s="16">
        <f t="shared" si="101"/>
        <v>3</v>
      </c>
      <c r="AW64" s="16">
        <f t="shared" si="102"/>
        <v>2</v>
      </c>
      <c r="AX64" s="16">
        <f t="shared" si="103"/>
        <v>3</v>
      </c>
      <c r="AY64" s="16">
        <f t="shared" si="104"/>
        <v>2</v>
      </c>
      <c r="AZ64" s="16">
        <f t="shared" si="105"/>
        <v>1</v>
      </c>
      <c r="BA64" s="17">
        <f t="shared" si="106"/>
        <v>3</v>
      </c>
    </row>
    <row r="65" spans="1:53" ht="15.6" x14ac:dyDescent="0.3">
      <c r="A65" s="199" t="s">
        <v>31</v>
      </c>
      <c r="B65" s="257">
        <v>43891</v>
      </c>
      <c r="C65" s="233">
        <v>43921</v>
      </c>
      <c r="D65" s="95">
        <v>1300</v>
      </c>
      <c r="E65" s="98">
        <v>980</v>
      </c>
      <c r="F65" s="97">
        <v>0</v>
      </c>
      <c r="G65" s="99">
        <v>4000</v>
      </c>
      <c r="H65" s="98">
        <v>3560</v>
      </c>
      <c r="I65" s="97">
        <v>0</v>
      </c>
      <c r="J65" s="99">
        <v>3000</v>
      </c>
      <c r="K65" s="98">
        <v>2700</v>
      </c>
      <c r="L65" s="97">
        <v>0</v>
      </c>
      <c r="M65" s="99">
        <v>2700</v>
      </c>
      <c r="N65" s="98">
        <v>1980</v>
      </c>
      <c r="O65" s="97">
        <v>0</v>
      </c>
      <c r="P65" s="99">
        <v>2200</v>
      </c>
      <c r="Q65" s="98">
        <v>1878</v>
      </c>
      <c r="R65" s="97">
        <v>0</v>
      </c>
      <c r="S65" s="99">
        <v>2000</v>
      </c>
      <c r="T65" s="98">
        <v>1510</v>
      </c>
      <c r="U65" s="97">
        <v>0</v>
      </c>
      <c r="V65" s="99">
        <v>1500</v>
      </c>
      <c r="W65" s="98">
        <v>1290</v>
      </c>
      <c r="X65" s="97">
        <v>0</v>
      </c>
      <c r="Y65" s="99">
        <v>1000</v>
      </c>
      <c r="Z65" s="98">
        <v>890</v>
      </c>
      <c r="AA65" s="97">
        <v>0</v>
      </c>
      <c r="AB65" s="95">
        <v>120</v>
      </c>
      <c r="AC65" s="98">
        <v>0</v>
      </c>
      <c r="AD65" s="97">
        <v>21</v>
      </c>
      <c r="AE65" s="99">
        <v>600</v>
      </c>
      <c r="AF65" s="98">
        <v>2950</v>
      </c>
      <c r="AG65" s="97">
        <v>0</v>
      </c>
      <c r="AH65" s="265">
        <f>+Janvier!AJ65</f>
        <v>2561.7857142857147</v>
      </c>
      <c r="AI65" s="231">
        <f>+Janvier!AK65</f>
        <v>7970</v>
      </c>
      <c r="AJ65" s="231">
        <f>+Janvier!AL65</f>
        <v>5977.4999999999991</v>
      </c>
      <c r="AK65" s="231">
        <f>+Janvier!AM65</f>
        <v>5977.4999999999991</v>
      </c>
      <c r="AL65" s="231">
        <f>+Janvier!AN65</f>
        <v>3622.727272727273</v>
      </c>
      <c r="AM65" s="231">
        <f>+Janvier!AO65</f>
        <v>2241.5625</v>
      </c>
      <c r="AN65" s="231">
        <f>+Janvier!AP65</f>
        <v>4483.125</v>
      </c>
      <c r="AO65" s="231">
        <f>+Janvier!AQ65</f>
        <v>2241.5625</v>
      </c>
      <c r="AP65" s="231">
        <f>+Janvier!AR65</f>
        <v>2241.5625</v>
      </c>
      <c r="AQ65" s="231">
        <f>+Janvier!AS65</f>
        <v>3985</v>
      </c>
      <c r="AR65" s="16">
        <f t="shared" si="97"/>
        <v>2</v>
      </c>
      <c r="AS65" s="16">
        <f t="shared" si="98"/>
        <v>2</v>
      </c>
      <c r="AT65" s="16">
        <f t="shared" si="99"/>
        <v>2</v>
      </c>
      <c r="AU65" s="16">
        <f t="shared" si="100"/>
        <v>2</v>
      </c>
      <c r="AV65" s="16">
        <f t="shared" si="101"/>
        <v>3</v>
      </c>
      <c r="AW65" s="16">
        <f t="shared" si="102"/>
        <v>3</v>
      </c>
      <c r="AX65" s="16">
        <f t="shared" si="103"/>
        <v>1</v>
      </c>
      <c r="AY65" s="16">
        <f t="shared" si="104"/>
        <v>2</v>
      </c>
      <c r="AZ65" s="16">
        <f t="shared" si="105"/>
        <v>0</v>
      </c>
      <c r="BA65" s="17">
        <f t="shared" si="106"/>
        <v>4</v>
      </c>
    </row>
    <row r="66" spans="1:53" ht="15.6" x14ac:dyDescent="0.3">
      <c r="A66" s="199" t="s">
        <v>32</v>
      </c>
      <c r="B66" s="257">
        <v>43891</v>
      </c>
      <c r="C66" s="233">
        <v>43921</v>
      </c>
      <c r="D66" s="95">
        <v>1020</v>
      </c>
      <c r="E66" s="98">
        <v>240</v>
      </c>
      <c r="F66" s="97">
        <v>0</v>
      </c>
      <c r="G66" s="99">
        <v>3000</v>
      </c>
      <c r="H66" s="98">
        <v>1260</v>
      </c>
      <c r="I66" s="97">
        <v>0</v>
      </c>
      <c r="J66" s="99">
        <v>1770</v>
      </c>
      <c r="K66" s="98">
        <v>910</v>
      </c>
      <c r="L66" s="97">
        <v>0</v>
      </c>
      <c r="M66" s="99">
        <v>800</v>
      </c>
      <c r="N66" s="98">
        <v>1456</v>
      </c>
      <c r="O66" s="97">
        <v>0</v>
      </c>
      <c r="P66" s="99">
        <v>1350</v>
      </c>
      <c r="Q66" s="98">
        <v>509</v>
      </c>
      <c r="R66" s="97">
        <v>0</v>
      </c>
      <c r="S66" s="99">
        <v>870</v>
      </c>
      <c r="T66" s="98">
        <v>420</v>
      </c>
      <c r="U66" s="97">
        <v>0</v>
      </c>
      <c r="V66" s="99">
        <v>2070</v>
      </c>
      <c r="W66" s="98">
        <v>2340</v>
      </c>
      <c r="X66" s="97">
        <v>0</v>
      </c>
      <c r="Y66" s="99">
        <v>610</v>
      </c>
      <c r="Z66" s="98">
        <v>320</v>
      </c>
      <c r="AA66" s="97">
        <v>0</v>
      </c>
      <c r="AB66" s="95">
        <v>1000</v>
      </c>
      <c r="AC66" s="98">
        <v>80</v>
      </c>
      <c r="AD66" s="97">
        <v>0</v>
      </c>
      <c r="AE66" s="99">
        <v>1700</v>
      </c>
      <c r="AF66" s="98">
        <v>1250</v>
      </c>
      <c r="AG66" s="97">
        <v>0</v>
      </c>
      <c r="AH66" s="265">
        <f>+Janvier!AJ66</f>
        <v>1732.3763736263736</v>
      </c>
      <c r="AI66" s="231">
        <f>+Janvier!AK66</f>
        <v>5389.6153846153857</v>
      </c>
      <c r="AJ66" s="231">
        <f>+Janvier!AL66</f>
        <v>4042.211538461539</v>
      </c>
      <c r="AK66" s="231">
        <f>+Janvier!AM66</f>
        <v>4042.211538461539</v>
      </c>
      <c r="AL66" s="231">
        <f>+Janvier!AN66</f>
        <v>2449.8251748251751</v>
      </c>
      <c r="AM66" s="231">
        <f>+Janvier!AO66</f>
        <v>1515.8293269230767</v>
      </c>
      <c r="AN66" s="231">
        <f>+Janvier!AP66</f>
        <v>3031.6586538461534</v>
      </c>
      <c r="AO66" s="231">
        <f>+Janvier!AQ66</f>
        <v>1515.8293269230767</v>
      </c>
      <c r="AP66" s="231">
        <f>+Janvier!AR66</f>
        <v>1515.8293269230767</v>
      </c>
      <c r="AQ66" s="231">
        <f>+Janvier!AS66</f>
        <v>2694.8076923076928</v>
      </c>
      <c r="AR66" s="16">
        <f t="shared" si="97"/>
        <v>1</v>
      </c>
      <c r="AS66" s="16">
        <f t="shared" si="98"/>
        <v>1</v>
      </c>
      <c r="AT66" s="16">
        <f t="shared" si="99"/>
        <v>1</v>
      </c>
      <c r="AU66" s="16">
        <f t="shared" si="100"/>
        <v>2</v>
      </c>
      <c r="AV66" s="16">
        <f t="shared" si="101"/>
        <v>1</v>
      </c>
      <c r="AW66" s="16">
        <f t="shared" si="102"/>
        <v>1</v>
      </c>
      <c r="AX66" s="16">
        <f t="shared" si="103"/>
        <v>4</v>
      </c>
      <c r="AY66" s="16">
        <f t="shared" si="104"/>
        <v>1</v>
      </c>
      <c r="AZ66" s="16">
        <f t="shared" si="105"/>
        <v>0</v>
      </c>
      <c r="BA66" s="17">
        <f t="shared" si="106"/>
        <v>2</v>
      </c>
    </row>
    <row r="67" spans="1:53" ht="16.2" thickBot="1" x14ac:dyDescent="0.35">
      <c r="A67" s="199" t="s">
        <v>33</v>
      </c>
      <c r="B67" s="270">
        <v>43891</v>
      </c>
      <c r="C67" s="271">
        <v>43921</v>
      </c>
      <c r="D67" s="111">
        <v>1760</v>
      </c>
      <c r="E67" s="263">
        <v>400</v>
      </c>
      <c r="F67" s="110">
        <v>0</v>
      </c>
      <c r="G67" s="264">
        <v>4300</v>
      </c>
      <c r="H67" s="263">
        <v>2040</v>
      </c>
      <c r="I67" s="110">
        <v>0</v>
      </c>
      <c r="J67" s="264">
        <v>3350</v>
      </c>
      <c r="K67" s="263">
        <v>1590</v>
      </c>
      <c r="L67" s="110">
        <v>0</v>
      </c>
      <c r="M67" s="264">
        <v>1700</v>
      </c>
      <c r="N67" s="263">
        <v>1292</v>
      </c>
      <c r="O67" s="110">
        <v>0</v>
      </c>
      <c r="P67" s="264">
        <v>2065</v>
      </c>
      <c r="Q67" s="263">
        <v>592</v>
      </c>
      <c r="R67" s="110">
        <v>0</v>
      </c>
      <c r="S67" s="264">
        <v>1130</v>
      </c>
      <c r="T67" s="263">
        <v>520</v>
      </c>
      <c r="U67" s="110">
        <v>0</v>
      </c>
      <c r="V67" s="264">
        <v>1490</v>
      </c>
      <c r="W67" s="263">
        <v>740</v>
      </c>
      <c r="X67" s="110">
        <v>0</v>
      </c>
      <c r="Y67" s="264">
        <v>1260</v>
      </c>
      <c r="Z67" s="263">
        <v>710</v>
      </c>
      <c r="AA67" s="110">
        <v>0</v>
      </c>
      <c r="AB67" s="111">
        <v>950</v>
      </c>
      <c r="AC67" s="263">
        <v>240</v>
      </c>
      <c r="AD67" s="110">
        <v>0</v>
      </c>
      <c r="AE67" s="266">
        <v>2550</v>
      </c>
      <c r="AF67" s="267">
        <v>1480</v>
      </c>
      <c r="AG67" s="261">
        <v>0</v>
      </c>
      <c r="AH67" s="265">
        <f>+Janvier!AJ67</f>
        <v>1391.4148351648353</v>
      </c>
      <c r="AI67" s="231">
        <f>+Janvier!AK67</f>
        <v>4328.8461538461534</v>
      </c>
      <c r="AJ67" s="231">
        <f>+Janvier!AL67</f>
        <v>3246.6346153846152</v>
      </c>
      <c r="AK67" s="231">
        <f>+Janvier!AM67</f>
        <v>3246.6346153846152</v>
      </c>
      <c r="AL67" s="231">
        <f>+Janvier!AN67</f>
        <v>1967.6573426573427</v>
      </c>
      <c r="AM67" s="231">
        <f>+Janvier!AO67</f>
        <v>1217.4879807692307</v>
      </c>
      <c r="AN67" s="231">
        <f>+Janvier!AP67</f>
        <v>2434.9759615384614</v>
      </c>
      <c r="AO67" s="231">
        <f>+Janvier!AQ67</f>
        <v>1217.4879807692307</v>
      </c>
      <c r="AP67" s="231">
        <f>+Janvier!AR67</f>
        <v>1217.4879807692307</v>
      </c>
      <c r="AQ67" s="231">
        <f>+Janvier!AS67</f>
        <v>2164.4230769230767</v>
      </c>
      <c r="AR67" s="32">
        <f t="shared" si="97"/>
        <v>1</v>
      </c>
      <c r="AS67" s="32">
        <f t="shared" si="98"/>
        <v>2</v>
      </c>
      <c r="AT67" s="32">
        <f t="shared" si="99"/>
        <v>2</v>
      </c>
      <c r="AU67" s="32">
        <f t="shared" si="100"/>
        <v>2</v>
      </c>
      <c r="AV67" s="32">
        <f t="shared" si="101"/>
        <v>2</v>
      </c>
      <c r="AW67" s="32">
        <f t="shared" si="102"/>
        <v>2</v>
      </c>
      <c r="AX67" s="32">
        <f t="shared" si="103"/>
        <v>2</v>
      </c>
      <c r="AY67" s="32">
        <f t="shared" si="104"/>
        <v>3</v>
      </c>
      <c r="AZ67" s="32">
        <f t="shared" si="105"/>
        <v>1</v>
      </c>
      <c r="BA67" s="33">
        <f t="shared" si="106"/>
        <v>3</v>
      </c>
    </row>
    <row r="68" spans="1:53" ht="15.6" x14ac:dyDescent="0.3">
      <c r="A68" s="202" t="s">
        <v>86</v>
      </c>
      <c r="B68" s="256">
        <v>43891</v>
      </c>
      <c r="C68" s="160">
        <v>43922</v>
      </c>
      <c r="D68" s="268">
        <v>0</v>
      </c>
      <c r="E68" s="123">
        <v>45000</v>
      </c>
      <c r="F68" s="124">
        <v>0</v>
      </c>
      <c r="G68" s="125">
        <v>0</v>
      </c>
      <c r="H68" s="123">
        <v>179700</v>
      </c>
      <c r="I68" s="124">
        <v>0</v>
      </c>
      <c r="J68" s="125">
        <v>0</v>
      </c>
      <c r="K68" s="123">
        <v>129410</v>
      </c>
      <c r="L68" s="124">
        <v>0</v>
      </c>
      <c r="M68" s="125">
        <v>0</v>
      </c>
      <c r="N68" s="123">
        <v>164500</v>
      </c>
      <c r="O68" s="124">
        <v>0</v>
      </c>
      <c r="P68" s="125">
        <v>0</v>
      </c>
      <c r="Q68" s="123">
        <v>68654</v>
      </c>
      <c r="R68" s="124">
        <v>0</v>
      </c>
      <c r="S68" s="125">
        <v>0</v>
      </c>
      <c r="T68" s="123">
        <v>56070</v>
      </c>
      <c r="U68" s="124">
        <v>0</v>
      </c>
      <c r="V68" s="125">
        <v>0</v>
      </c>
      <c r="W68" s="123">
        <v>127950</v>
      </c>
      <c r="X68" s="124">
        <v>0</v>
      </c>
      <c r="Y68" s="125">
        <v>0</v>
      </c>
      <c r="Z68" s="123">
        <v>20990</v>
      </c>
      <c r="AA68" s="124">
        <v>0</v>
      </c>
      <c r="AB68" s="125">
        <v>0</v>
      </c>
      <c r="AC68" s="123">
        <v>3330</v>
      </c>
      <c r="AD68" s="124">
        <v>0</v>
      </c>
      <c r="AE68" s="125">
        <v>0</v>
      </c>
      <c r="AF68" s="123">
        <v>83040</v>
      </c>
      <c r="AG68" s="124">
        <v>0</v>
      </c>
      <c r="AH68" s="265">
        <f>+Janvier!AJ68</f>
        <v>88119.9</v>
      </c>
      <c r="AI68" s="231">
        <f>+Janvier!AK68</f>
        <v>305254.47115384619</v>
      </c>
      <c r="AJ68" s="231">
        <f>+Janvier!AL68</f>
        <v>203299.47778846158</v>
      </c>
      <c r="AK68" s="231">
        <f>+Janvier!AM68</f>
        <v>203299.47778846158</v>
      </c>
      <c r="AL68" s="231">
        <f>+Janvier!AN68</f>
        <v>128206.87788461539</v>
      </c>
      <c r="AM68" s="231">
        <f>+Janvier!AO68</f>
        <v>76313.617788461546</v>
      </c>
      <c r="AN68" s="231">
        <f>+Janvier!AP68</f>
        <v>152627.23557692309</v>
      </c>
      <c r="AO68" s="231">
        <f>+Janvier!AQ68</f>
        <v>76313.617788461546</v>
      </c>
      <c r="AP68" s="231">
        <f>+Janvier!AR68</f>
        <v>76313.617788461546</v>
      </c>
      <c r="AQ68" s="231">
        <f>+Janvier!AS68</f>
        <v>136801.52307692307</v>
      </c>
      <c r="AR68" s="16">
        <f>ROUND(E68/(AH68/15),0)</f>
        <v>8</v>
      </c>
      <c r="AS68" s="16">
        <f t="shared" ref="AS68" si="107">ROUND(H68/(AI68/15),0)</f>
        <v>9</v>
      </c>
      <c r="AT68" s="16">
        <f t="shared" ref="AT68" si="108">ROUND(K68/(AJ68/15),0)</f>
        <v>10</v>
      </c>
      <c r="AU68" s="16">
        <f t="shared" ref="AU68" si="109">ROUND(N68/(AK68/15),0)</f>
        <v>12</v>
      </c>
      <c r="AV68" s="16">
        <f t="shared" ref="AV68" si="110">ROUND(Q68/(AL68/15),0)</f>
        <v>8</v>
      </c>
      <c r="AW68" s="16">
        <f t="shared" ref="AW68" si="111">ROUND(T68/(AM68/15),0)</f>
        <v>11</v>
      </c>
      <c r="AX68" s="16">
        <f t="shared" ref="AX68" si="112">ROUND(W68/(AN68/15),0)</f>
        <v>13</v>
      </c>
      <c r="AY68" s="16">
        <f t="shared" ref="AY68" si="113">ROUND(Z68/(AO68/15),0)</f>
        <v>4</v>
      </c>
      <c r="AZ68" s="16">
        <f t="shared" ref="AZ68" si="114">ROUND(AC68/(AP68/15),0)</f>
        <v>1</v>
      </c>
      <c r="BA68" s="17">
        <f t="shared" ref="BA68" si="115">ROUND(AF68/(AQ68/15),0)</f>
        <v>9</v>
      </c>
    </row>
    <row r="69" spans="1:53" ht="15.6" x14ac:dyDescent="0.3">
      <c r="A69" s="199" t="s">
        <v>63</v>
      </c>
      <c r="B69" s="257">
        <v>43891</v>
      </c>
      <c r="C69" s="94">
        <v>43922</v>
      </c>
      <c r="D69" s="237">
        <v>1000</v>
      </c>
      <c r="E69" s="96">
        <v>500</v>
      </c>
      <c r="F69" s="97">
        <v>0</v>
      </c>
      <c r="G69" s="95">
        <v>2400</v>
      </c>
      <c r="H69" s="96">
        <v>2400</v>
      </c>
      <c r="I69" s="97">
        <v>0</v>
      </c>
      <c r="J69" s="95">
        <v>1400</v>
      </c>
      <c r="K69" s="96">
        <v>1400</v>
      </c>
      <c r="L69" s="97">
        <v>0</v>
      </c>
      <c r="M69" s="95">
        <v>1800</v>
      </c>
      <c r="N69" s="96">
        <v>1800</v>
      </c>
      <c r="O69" s="97">
        <v>0</v>
      </c>
      <c r="P69" s="95">
        <v>850</v>
      </c>
      <c r="Q69" s="96">
        <v>850</v>
      </c>
      <c r="R69" s="97">
        <v>0</v>
      </c>
      <c r="S69" s="95">
        <v>600</v>
      </c>
      <c r="T69" s="96">
        <v>600</v>
      </c>
      <c r="U69" s="97">
        <v>0</v>
      </c>
      <c r="V69" s="95">
        <v>1420</v>
      </c>
      <c r="W69" s="96">
        <v>1420</v>
      </c>
      <c r="X69" s="97">
        <v>0</v>
      </c>
      <c r="Y69" s="95">
        <v>710</v>
      </c>
      <c r="Z69" s="96">
        <v>710</v>
      </c>
      <c r="AA69" s="97">
        <v>0</v>
      </c>
      <c r="AB69" s="95">
        <v>700</v>
      </c>
      <c r="AC69" s="96">
        <v>700</v>
      </c>
      <c r="AD69" s="97">
        <v>0</v>
      </c>
      <c r="AE69" s="95">
        <v>2270</v>
      </c>
      <c r="AF69" s="96">
        <v>1500</v>
      </c>
      <c r="AG69" s="97">
        <v>0</v>
      </c>
      <c r="AH69" s="265">
        <f>+Janvier!AJ69</f>
        <v>792.19780219780216</v>
      </c>
      <c r="AI69" s="231">
        <f>+Janvier!AK69</f>
        <v>2464.6153846153848</v>
      </c>
      <c r="AJ69" s="231">
        <f>+Janvier!AL69</f>
        <v>1848.4615384615383</v>
      </c>
      <c r="AK69" s="231">
        <f>+Janvier!AM69</f>
        <v>1848.4615384615383</v>
      </c>
      <c r="AL69" s="231">
        <f>+Janvier!AN69</f>
        <v>1120.2797202797203</v>
      </c>
      <c r="AM69" s="231">
        <f>+Janvier!AO69</f>
        <v>693.17307692307691</v>
      </c>
      <c r="AN69" s="231">
        <f>+Janvier!AP69</f>
        <v>1386.3461538461538</v>
      </c>
      <c r="AO69" s="231">
        <f>+Janvier!AQ69</f>
        <v>693.17307692307691</v>
      </c>
      <c r="AP69" s="231">
        <f>+Janvier!AR69</f>
        <v>693.17307692307691</v>
      </c>
      <c r="AQ69" s="231">
        <f>+Janvier!AS69</f>
        <v>1232.3076923076924</v>
      </c>
      <c r="AR69" s="16">
        <f t="shared" ref="AR69:AR79" si="116">ROUND(E69/(AH69/5),0)</f>
        <v>3</v>
      </c>
      <c r="AS69" s="16">
        <f t="shared" ref="AS69:AS79" si="117">ROUND(H69/(AI69/5),0)</f>
        <v>5</v>
      </c>
      <c r="AT69" s="16">
        <f t="shared" ref="AT69:AT79" si="118">ROUND(K69/(AJ69/5),0)</f>
        <v>4</v>
      </c>
      <c r="AU69" s="16">
        <f t="shared" ref="AU69:AU79" si="119">ROUND(N69/(AK69/5),0)</f>
        <v>5</v>
      </c>
      <c r="AV69" s="16">
        <f t="shared" ref="AV69:AV79" si="120">ROUND(Q69/(AL69/5),0)</f>
        <v>4</v>
      </c>
      <c r="AW69" s="16">
        <f t="shared" ref="AW69:AW79" si="121">ROUND(T69/(AM69/5),0)</f>
        <v>4</v>
      </c>
      <c r="AX69" s="16">
        <f t="shared" ref="AX69:AX79" si="122">ROUND(W69/(AN69/5),0)</f>
        <v>5</v>
      </c>
      <c r="AY69" s="16">
        <f t="shared" ref="AY69:AY79" si="123">ROUND(Z69/(AO69/5),0)</f>
        <v>5</v>
      </c>
      <c r="AZ69" s="16">
        <f t="shared" ref="AZ69:AZ79" si="124">ROUND(AC69/(AP69/5),0)</f>
        <v>5</v>
      </c>
      <c r="BA69" s="17">
        <f t="shared" ref="BA69:BA79" si="125">ROUND(AF69/(AQ69/5),0)</f>
        <v>6</v>
      </c>
    </row>
    <row r="70" spans="1:53" ht="15.6" x14ac:dyDescent="0.3">
      <c r="A70" s="199" t="s">
        <v>64</v>
      </c>
      <c r="B70" s="257">
        <v>43891</v>
      </c>
      <c r="C70" s="94">
        <v>43922</v>
      </c>
      <c r="D70" s="237">
        <v>2180</v>
      </c>
      <c r="E70" s="96">
        <v>180</v>
      </c>
      <c r="F70" s="97">
        <v>0</v>
      </c>
      <c r="G70" s="95">
        <v>4680</v>
      </c>
      <c r="H70" s="96">
        <v>1300</v>
      </c>
      <c r="I70" s="97">
        <v>0</v>
      </c>
      <c r="J70" s="95">
        <v>3740</v>
      </c>
      <c r="K70" s="96">
        <v>740</v>
      </c>
      <c r="L70" s="97">
        <v>0</v>
      </c>
      <c r="M70" s="95">
        <v>3740</v>
      </c>
      <c r="N70" s="96">
        <v>740</v>
      </c>
      <c r="O70" s="97">
        <v>0</v>
      </c>
      <c r="P70" s="95">
        <v>2600</v>
      </c>
      <c r="Q70" s="96">
        <v>275</v>
      </c>
      <c r="R70" s="97">
        <v>0</v>
      </c>
      <c r="S70" s="95">
        <v>1240</v>
      </c>
      <c r="T70" s="96">
        <v>250</v>
      </c>
      <c r="U70" s="97">
        <v>0</v>
      </c>
      <c r="V70" s="95">
        <v>2800</v>
      </c>
      <c r="W70" s="96">
        <v>750</v>
      </c>
      <c r="X70" s="97">
        <v>0</v>
      </c>
      <c r="Y70" s="95">
        <v>1500</v>
      </c>
      <c r="Z70" s="96">
        <v>270</v>
      </c>
      <c r="AA70" s="97">
        <v>0</v>
      </c>
      <c r="AB70" s="95">
        <v>470</v>
      </c>
      <c r="AC70" s="96">
        <v>200</v>
      </c>
      <c r="AD70" s="97">
        <v>0</v>
      </c>
      <c r="AE70" s="95">
        <v>3080</v>
      </c>
      <c r="AF70" s="96">
        <v>650</v>
      </c>
      <c r="AG70" s="97">
        <v>0</v>
      </c>
      <c r="AH70" s="265">
        <f>+Janvier!AJ70</f>
        <v>1980.7417582417584</v>
      </c>
      <c r="AI70" s="231">
        <f>+Janvier!AK70</f>
        <v>6162.3076923076933</v>
      </c>
      <c r="AJ70" s="231">
        <f>+Janvier!AL70</f>
        <v>4621.7307692307704</v>
      </c>
      <c r="AK70" s="231">
        <f>+Janvier!AM70</f>
        <v>4621.7307692307704</v>
      </c>
      <c r="AL70" s="231">
        <f>+Janvier!AN70</f>
        <v>2801.0489510489515</v>
      </c>
      <c r="AM70" s="231">
        <f>+Janvier!AO70</f>
        <v>1733.1490384615383</v>
      </c>
      <c r="AN70" s="231">
        <f>+Janvier!AP70</f>
        <v>3466.2980769230767</v>
      </c>
      <c r="AO70" s="231">
        <f>+Janvier!AQ70</f>
        <v>1733.1490384615383</v>
      </c>
      <c r="AP70" s="231">
        <f>+Janvier!AR70</f>
        <v>1733.1490384615383</v>
      </c>
      <c r="AQ70" s="231">
        <f>+Janvier!AS70</f>
        <v>3081.1538461538466</v>
      </c>
      <c r="AR70" s="16">
        <f t="shared" si="116"/>
        <v>0</v>
      </c>
      <c r="AS70" s="16">
        <f t="shared" si="117"/>
        <v>1</v>
      </c>
      <c r="AT70" s="16">
        <f t="shared" si="118"/>
        <v>1</v>
      </c>
      <c r="AU70" s="16">
        <f t="shared" si="119"/>
        <v>1</v>
      </c>
      <c r="AV70" s="16">
        <f t="shared" si="120"/>
        <v>0</v>
      </c>
      <c r="AW70" s="16">
        <f t="shared" si="121"/>
        <v>1</v>
      </c>
      <c r="AX70" s="16">
        <f t="shared" si="122"/>
        <v>1</v>
      </c>
      <c r="AY70" s="16">
        <f t="shared" si="123"/>
        <v>1</v>
      </c>
      <c r="AZ70" s="16">
        <f t="shared" si="124"/>
        <v>1</v>
      </c>
      <c r="BA70" s="17">
        <f t="shared" si="125"/>
        <v>1</v>
      </c>
    </row>
    <row r="71" spans="1:53" ht="15.6" x14ac:dyDescent="0.3">
      <c r="A71" s="199" t="s">
        <v>65</v>
      </c>
      <c r="B71" s="257">
        <v>43891</v>
      </c>
      <c r="C71" s="94">
        <v>43922</v>
      </c>
      <c r="D71" s="237">
        <v>2360</v>
      </c>
      <c r="E71" s="96">
        <v>1120</v>
      </c>
      <c r="F71" s="97">
        <v>0</v>
      </c>
      <c r="G71" s="95">
        <v>6800</v>
      </c>
      <c r="H71" s="96">
        <v>1960</v>
      </c>
      <c r="I71" s="97">
        <v>0</v>
      </c>
      <c r="J71" s="95">
        <v>5200</v>
      </c>
      <c r="K71" s="96">
        <v>1370</v>
      </c>
      <c r="L71" s="97">
        <v>0</v>
      </c>
      <c r="M71" s="95">
        <v>5732</v>
      </c>
      <c r="N71" s="96">
        <v>844</v>
      </c>
      <c r="O71" s="97">
        <v>0</v>
      </c>
      <c r="P71" s="95">
        <v>3446</v>
      </c>
      <c r="Q71" s="96">
        <v>770</v>
      </c>
      <c r="R71" s="97">
        <v>0</v>
      </c>
      <c r="S71" s="95">
        <v>1830</v>
      </c>
      <c r="T71" s="96">
        <v>360</v>
      </c>
      <c r="U71" s="97">
        <v>0</v>
      </c>
      <c r="V71" s="95">
        <v>3380</v>
      </c>
      <c r="W71" s="96">
        <v>1840</v>
      </c>
      <c r="X71" s="97">
        <v>0</v>
      </c>
      <c r="Y71" s="95">
        <v>2460</v>
      </c>
      <c r="Z71" s="96">
        <v>150</v>
      </c>
      <c r="AA71" s="97">
        <v>0</v>
      </c>
      <c r="AB71" s="95">
        <v>780</v>
      </c>
      <c r="AC71" s="96">
        <v>10</v>
      </c>
      <c r="AD71" s="97">
        <v>0</v>
      </c>
      <c r="AE71" s="95">
        <v>3390</v>
      </c>
      <c r="AF71" s="96">
        <v>1990</v>
      </c>
      <c r="AG71" s="97">
        <v>0</v>
      </c>
      <c r="AH71" s="265">
        <f>+Janvier!AJ71</f>
        <v>2906.4560439560446</v>
      </c>
      <c r="AI71" s="231">
        <f>+Janvier!AK71</f>
        <v>9042.3076923076933</v>
      </c>
      <c r="AJ71" s="231">
        <f>+Janvier!AL71</f>
        <v>6781.7307692307695</v>
      </c>
      <c r="AK71" s="231">
        <f>+Janvier!AM71</f>
        <v>6781.7307692307695</v>
      </c>
      <c r="AL71" s="231">
        <f>+Janvier!AN71</f>
        <v>4110.1398601398605</v>
      </c>
      <c r="AM71" s="231">
        <f>+Janvier!AO71</f>
        <v>2543.1490384615386</v>
      </c>
      <c r="AN71" s="231">
        <f>+Janvier!AP71</f>
        <v>5086.2980769230771</v>
      </c>
      <c r="AO71" s="231">
        <f>+Janvier!AQ71</f>
        <v>2543.1490384615386</v>
      </c>
      <c r="AP71" s="231">
        <f>+Janvier!AR71</f>
        <v>2543.1490384615386</v>
      </c>
      <c r="AQ71" s="231">
        <f>+Janvier!AS71</f>
        <v>4521.1538461538466</v>
      </c>
      <c r="AR71" s="16">
        <f t="shared" si="116"/>
        <v>2</v>
      </c>
      <c r="AS71" s="16">
        <f t="shared" si="117"/>
        <v>1</v>
      </c>
      <c r="AT71" s="16">
        <f t="shared" si="118"/>
        <v>1</v>
      </c>
      <c r="AU71" s="16">
        <f t="shared" si="119"/>
        <v>1</v>
      </c>
      <c r="AV71" s="16">
        <f t="shared" si="120"/>
        <v>1</v>
      </c>
      <c r="AW71" s="16">
        <f t="shared" si="121"/>
        <v>1</v>
      </c>
      <c r="AX71" s="16">
        <f t="shared" si="122"/>
        <v>2</v>
      </c>
      <c r="AY71" s="16">
        <f t="shared" si="123"/>
        <v>0</v>
      </c>
      <c r="AZ71" s="16">
        <f t="shared" si="124"/>
        <v>0</v>
      </c>
      <c r="BA71" s="17">
        <f t="shared" si="125"/>
        <v>2</v>
      </c>
    </row>
    <row r="72" spans="1:53" ht="15.6" x14ac:dyDescent="0.3">
      <c r="A72" s="203" t="s">
        <v>66</v>
      </c>
      <c r="B72" s="257">
        <v>43891</v>
      </c>
      <c r="C72" s="94">
        <v>43922</v>
      </c>
      <c r="D72" s="237">
        <v>2300</v>
      </c>
      <c r="E72" s="96">
        <v>3220</v>
      </c>
      <c r="F72" s="97">
        <v>0</v>
      </c>
      <c r="G72" s="95">
        <v>4720</v>
      </c>
      <c r="H72" s="96">
        <v>8120</v>
      </c>
      <c r="I72" s="97">
        <v>0</v>
      </c>
      <c r="J72" s="95">
        <v>4260</v>
      </c>
      <c r="K72" s="96">
        <v>6130</v>
      </c>
      <c r="L72" s="97">
        <v>0</v>
      </c>
      <c r="M72" s="95">
        <v>4000</v>
      </c>
      <c r="N72" s="96">
        <v>6356</v>
      </c>
      <c r="O72" s="97">
        <v>0</v>
      </c>
      <c r="P72" s="95">
        <v>2442</v>
      </c>
      <c r="Q72" s="96">
        <v>3906</v>
      </c>
      <c r="R72" s="97">
        <v>0</v>
      </c>
      <c r="S72" s="95">
        <v>1410</v>
      </c>
      <c r="T72" s="96">
        <v>2030</v>
      </c>
      <c r="U72" s="97">
        <v>0</v>
      </c>
      <c r="V72" s="95">
        <v>2710</v>
      </c>
      <c r="W72" s="96">
        <v>4840</v>
      </c>
      <c r="X72" s="97">
        <v>0</v>
      </c>
      <c r="Y72" s="95">
        <v>1640</v>
      </c>
      <c r="Z72" s="96">
        <v>2400</v>
      </c>
      <c r="AA72" s="97">
        <v>0</v>
      </c>
      <c r="AB72" s="95">
        <v>2400</v>
      </c>
      <c r="AC72" s="96">
        <v>1100</v>
      </c>
      <c r="AD72" s="97">
        <v>0</v>
      </c>
      <c r="AE72" s="95">
        <v>3570</v>
      </c>
      <c r="AF72" s="96">
        <v>5080</v>
      </c>
      <c r="AG72" s="97">
        <v>0</v>
      </c>
      <c r="AH72" s="265">
        <f>+Janvier!AJ72</f>
        <v>2692.335164835165</v>
      </c>
      <c r="AI72" s="231">
        <f>+Janvier!AK72</f>
        <v>8376.1538461538457</v>
      </c>
      <c r="AJ72" s="231">
        <f>+Janvier!AL72</f>
        <v>6282.1153846153857</v>
      </c>
      <c r="AK72" s="231">
        <f>+Janvier!AM72</f>
        <v>6282.1153846153857</v>
      </c>
      <c r="AL72" s="231">
        <f>+Janvier!AN72</f>
        <v>3807.3426573426577</v>
      </c>
      <c r="AM72" s="231">
        <f>+Janvier!AO72</f>
        <v>2355.7932692307695</v>
      </c>
      <c r="AN72" s="231">
        <f>+Janvier!AP72</f>
        <v>4711.586538461539</v>
      </c>
      <c r="AO72" s="231">
        <f>+Janvier!AQ72</f>
        <v>2355.7932692307695</v>
      </c>
      <c r="AP72" s="231">
        <f>+Janvier!AR72</f>
        <v>2355.7932692307695</v>
      </c>
      <c r="AQ72" s="231">
        <f>+Janvier!AS72</f>
        <v>4188.0769230769229</v>
      </c>
      <c r="AR72" s="16">
        <f t="shared" si="116"/>
        <v>6</v>
      </c>
      <c r="AS72" s="16">
        <f t="shared" si="117"/>
        <v>5</v>
      </c>
      <c r="AT72" s="16">
        <f t="shared" si="118"/>
        <v>5</v>
      </c>
      <c r="AU72" s="16">
        <f t="shared" si="119"/>
        <v>5</v>
      </c>
      <c r="AV72" s="16">
        <f t="shared" si="120"/>
        <v>5</v>
      </c>
      <c r="AW72" s="16">
        <f t="shared" si="121"/>
        <v>4</v>
      </c>
      <c r="AX72" s="16">
        <f t="shared" si="122"/>
        <v>5</v>
      </c>
      <c r="AY72" s="16">
        <f t="shared" si="123"/>
        <v>5</v>
      </c>
      <c r="AZ72" s="16">
        <f t="shared" si="124"/>
        <v>2</v>
      </c>
      <c r="BA72" s="17">
        <f t="shared" si="125"/>
        <v>6</v>
      </c>
    </row>
    <row r="73" spans="1:53" ht="15.6" x14ac:dyDescent="0.3">
      <c r="A73" s="203" t="s">
        <v>67</v>
      </c>
      <c r="B73" s="257">
        <v>43891</v>
      </c>
      <c r="C73" s="94">
        <v>43922</v>
      </c>
      <c r="D73" s="237">
        <v>4600</v>
      </c>
      <c r="E73" s="96">
        <v>1580</v>
      </c>
      <c r="F73" s="97">
        <v>0</v>
      </c>
      <c r="G73" s="95">
        <v>8860</v>
      </c>
      <c r="H73" s="96">
        <v>4640</v>
      </c>
      <c r="I73" s="97">
        <v>0</v>
      </c>
      <c r="J73" s="95">
        <v>8200</v>
      </c>
      <c r="K73" s="96">
        <v>3260</v>
      </c>
      <c r="L73" s="97">
        <v>0</v>
      </c>
      <c r="M73" s="95">
        <v>7488</v>
      </c>
      <c r="N73" s="96">
        <v>2856</v>
      </c>
      <c r="O73" s="97">
        <v>0</v>
      </c>
      <c r="P73" s="95">
        <v>4312</v>
      </c>
      <c r="Q73" s="96">
        <v>2186</v>
      </c>
      <c r="R73" s="97">
        <v>0</v>
      </c>
      <c r="S73" s="95">
        <v>1600</v>
      </c>
      <c r="T73" s="96">
        <v>20</v>
      </c>
      <c r="U73" s="97">
        <v>0</v>
      </c>
      <c r="V73" s="95">
        <v>5650</v>
      </c>
      <c r="W73" s="96">
        <v>3310</v>
      </c>
      <c r="X73" s="97">
        <v>0</v>
      </c>
      <c r="Y73" s="95">
        <v>3350</v>
      </c>
      <c r="Z73" s="96">
        <v>640</v>
      </c>
      <c r="AA73" s="97">
        <v>0</v>
      </c>
      <c r="AB73" s="95">
        <v>1890</v>
      </c>
      <c r="AC73" s="96">
        <v>10</v>
      </c>
      <c r="AD73" s="97">
        <v>0</v>
      </c>
      <c r="AE73" s="95">
        <v>8900</v>
      </c>
      <c r="AF73" s="96">
        <v>4200</v>
      </c>
      <c r="AG73" s="97">
        <v>0</v>
      </c>
      <c r="AH73" s="265">
        <f>+Janvier!AJ73</f>
        <v>4744.9038461538466</v>
      </c>
      <c r="AI73" s="231">
        <f>+Janvier!AK73</f>
        <v>14761.923076923076</v>
      </c>
      <c r="AJ73" s="231">
        <f>+Janvier!AL73</f>
        <v>11071.442307692309</v>
      </c>
      <c r="AK73" s="231">
        <f>+Janvier!AM73</f>
        <v>11071.442307692309</v>
      </c>
      <c r="AL73" s="231">
        <f>+Janvier!AN73</f>
        <v>6709.9650349650356</v>
      </c>
      <c r="AM73" s="231">
        <f>+Janvier!AO73</f>
        <v>4151.7908653846152</v>
      </c>
      <c r="AN73" s="231">
        <f>+Janvier!AP73</f>
        <v>8303.5817307692305</v>
      </c>
      <c r="AO73" s="231">
        <f>+Janvier!AQ73</f>
        <v>4151.7908653846152</v>
      </c>
      <c r="AP73" s="231">
        <f>+Janvier!AR73</f>
        <v>4151.7908653846152</v>
      </c>
      <c r="AQ73" s="231">
        <f>+Janvier!AS73</f>
        <v>7380.9615384615381</v>
      </c>
      <c r="AR73" s="16">
        <f t="shared" si="116"/>
        <v>2</v>
      </c>
      <c r="AS73" s="16">
        <f t="shared" si="117"/>
        <v>2</v>
      </c>
      <c r="AT73" s="16">
        <f t="shared" si="118"/>
        <v>1</v>
      </c>
      <c r="AU73" s="16">
        <f t="shared" si="119"/>
        <v>1</v>
      </c>
      <c r="AV73" s="16">
        <f t="shared" si="120"/>
        <v>2</v>
      </c>
      <c r="AW73" s="16">
        <f t="shared" si="121"/>
        <v>0</v>
      </c>
      <c r="AX73" s="16">
        <f t="shared" si="122"/>
        <v>2</v>
      </c>
      <c r="AY73" s="16">
        <f t="shared" si="123"/>
        <v>1</v>
      </c>
      <c r="AZ73" s="16">
        <f t="shared" si="124"/>
        <v>0</v>
      </c>
      <c r="BA73" s="17">
        <f t="shared" si="125"/>
        <v>3</v>
      </c>
    </row>
    <row r="74" spans="1:53" ht="15.6" x14ac:dyDescent="0.3">
      <c r="A74" s="203" t="s">
        <v>68</v>
      </c>
      <c r="B74" s="257">
        <v>43891</v>
      </c>
      <c r="C74" s="94">
        <v>43922</v>
      </c>
      <c r="D74" s="237">
        <v>3340</v>
      </c>
      <c r="E74" s="96">
        <v>680</v>
      </c>
      <c r="F74" s="97">
        <v>0</v>
      </c>
      <c r="G74" s="95">
        <v>6400</v>
      </c>
      <c r="H74" s="96">
        <v>1780</v>
      </c>
      <c r="I74" s="97">
        <v>0</v>
      </c>
      <c r="J74" s="95">
        <v>5240</v>
      </c>
      <c r="K74" s="96">
        <v>430</v>
      </c>
      <c r="L74" s="97">
        <v>0</v>
      </c>
      <c r="M74" s="95">
        <v>5772</v>
      </c>
      <c r="N74" s="96">
        <v>512</v>
      </c>
      <c r="O74" s="97">
        <v>0</v>
      </c>
      <c r="P74" s="95">
        <v>3870</v>
      </c>
      <c r="Q74" s="96">
        <v>55</v>
      </c>
      <c r="R74" s="97">
        <v>0</v>
      </c>
      <c r="S74" s="95">
        <v>1100</v>
      </c>
      <c r="T74" s="96">
        <v>50</v>
      </c>
      <c r="U74" s="97">
        <v>0</v>
      </c>
      <c r="V74" s="95">
        <v>3500</v>
      </c>
      <c r="W74" s="96">
        <v>1210</v>
      </c>
      <c r="X74" s="97">
        <v>0</v>
      </c>
      <c r="Y74" s="95">
        <v>1880</v>
      </c>
      <c r="Z74" s="96">
        <v>670</v>
      </c>
      <c r="AA74" s="97">
        <v>0</v>
      </c>
      <c r="AB74" s="95">
        <v>2730</v>
      </c>
      <c r="AC74" s="96">
        <v>670</v>
      </c>
      <c r="AD74" s="97">
        <v>0</v>
      </c>
      <c r="AE74" s="95">
        <v>450</v>
      </c>
      <c r="AF74" s="96">
        <v>2880</v>
      </c>
      <c r="AG74" s="97">
        <v>0</v>
      </c>
      <c r="AH74" s="265">
        <f>+Janvier!AJ74</f>
        <v>3278.4478021978025</v>
      </c>
      <c r="AI74" s="231">
        <f>+Janvier!AK74</f>
        <v>10199.615384615387</v>
      </c>
      <c r="AJ74" s="231">
        <f>+Janvier!AL74</f>
        <v>7649.7115384615381</v>
      </c>
      <c r="AK74" s="231">
        <f>+Janvier!AM74</f>
        <v>7649.7115384615381</v>
      </c>
      <c r="AL74" s="231">
        <f>+Janvier!AN74</f>
        <v>4636.188811188812</v>
      </c>
      <c r="AM74" s="231">
        <f>+Janvier!AO74</f>
        <v>2868.6418269230771</v>
      </c>
      <c r="AN74" s="231">
        <f>+Janvier!AP74</f>
        <v>5737.2836538461543</v>
      </c>
      <c r="AO74" s="231">
        <f>+Janvier!AQ74</f>
        <v>2868.6418269230771</v>
      </c>
      <c r="AP74" s="231">
        <f>+Janvier!AR74</f>
        <v>2868.6418269230771</v>
      </c>
      <c r="AQ74" s="231">
        <f>+Janvier!AS74</f>
        <v>5099.8076923076933</v>
      </c>
      <c r="AR74" s="16">
        <f t="shared" si="116"/>
        <v>1</v>
      </c>
      <c r="AS74" s="16">
        <f t="shared" si="117"/>
        <v>1</v>
      </c>
      <c r="AT74" s="16">
        <f t="shared" si="118"/>
        <v>0</v>
      </c>
      <c r="AU74" s="16">
        <f t="shared" si="119"/>
        <v>0</v>
      </c>
      <c r="AV74" s="16">
        <f t="shared" si="120"/>
        <v>0</v>
      </c>
      <c r="AW74" s="16">
        <f t="shared" si="121"/>
        <v>0</v>
      </c>
      <c r="AX74" s="16">
        <f t="shared" si="122"/>
        <v>1</v>
      </c>
      <c r="AY74" s="16">
        <f t="shared" si="123"/>
        <v>1</v>
      </c>
      <c r="AZ74" s="16">
        <f t="shared" si="124"/>
        <v>1</v>
      </c>
      <c r="BA74" s="17">
        <f t="shared" si="125"/>
        <v>3</v>
      </c>
    </row>
    <row r="75" spans="1:53" ht="15.6" x14ac:dyDescent="0.3">
      <c r="A75" s="203" t="s">
        <v>69</v>
      </c>
      <c r="B75" s="257">
        <v>43891</v>
      </c>
      <c r="C75" s="94">
        <v>43922</v>
      </c>
      <c r="D75" s="237">
        <v>3660</v>
      </c>
      <c r="E75" s="96">
        <v>5000</v>
      </c>
      <c r="F75" s="97">
        <v>0</v>
      </c>
      <c r="G75" s="95">
        <v>8460</v>
      </c>
      <c r="H75" s="96">
        <v>12580</v>
      </c>
      <c r="I75" s="97">
        <v>0</v>
      </c>
      <c r="J75" s="95">
        <v>7290</v>
      </c>
      <c r="K75" s="96">
        <v>9430</v>
      </c>
      <c r="L75" s="97">
        <v>0</v>
      </c>
      <c r="M75" s="95">
        <v>7240</v>
      </c>
      <c r="N75" s="96">
        <v>9428</v>
      </c>
      <c r="O75" s="97">
        <v>0</v>
      </c>
      <c r="P75" s="95">
        <v>44421</v>
      </c>
      <c r="Q75" s="96">
        <v>6047</v>
      </c>
      <c r="R75" s="97">
        <v>0</v>
      </c>
      <c r="S75" s="95">
        <v>2370</v>
      </c>
      <c r="T75" s="96">
        <v>3140</v>
      </c>
      <c r="U75" s="97">
        <v>0</v>
      </c>
      <c r="V75" s="95">
        <v>5070</v>
      </c>
      <c r="W75" s="96">
        <v>9460</v>
      </c>
      <c r="X75" s="97">
        <v>0</v>
      </c>
      <c r="Y75" s="95">
        <v>2580</v>
      </c>
      <c r="Z75" s="96">
        <v>3740</v>
      </c>
      <c r="AA75" s="97">
        <v>0</v>
      </c>
      <c r="AB75" s="95">
        <v>1000</v>
      </c>
      <c r="AC75" s="96">
        <v>1130</v>
      </c>
      <c r="AD75" s="97">
        <v>0</v>
      </c>
      <c r="AE75" s="95">
        <v>5200</v>
      </c>
      <c r="AF75" s="96">
        <v>8100</v>
      </c>
      <c r="AG75" s="97">
        <v>0</v>
      </c>
      <c r="AH75" s="265">
        <f>+Janvier!AJ75</f>
        <v>4167.9395604395613</v>
      </c>
      <c r="AI75" s="231">
        <f>+Janvier!AK75</f>
        <v>12966.923076923082</v>
      </c>
      <c r="AJ75" s="231">
        <f>+Janvier!AL75</f>
        <v>9725.1923076923085</v>
      </c>
      <c r="AK75" s="231">
        <f>+Janvier!AM75</f>
        <v>9725.1923076923085</v>
      </c>
      <c r="AL75" s="231">
        <f>+Janvier!AN75</f>
        <v>5894.0559440559446</v>
      </c>
      <c r="AM75" s="231">
        <f>+Janvier!AO75</f>
        <v>3646.9471153846152</v>
      </c>
      <c r="AN75" s="231">
        <f>+Janvier!AP75</f>
        <v>7293.8942307692305</v>
      </c>
      <c r="AO75" s="231">
        <f>+Janvier!AQ75</f>
        <v>3646.9471153846152</v>
      </c>
      <c r="AP75" s="231">
        <f>+Janvier!AR75</f>
        <v>3646.9471153846152</v>
      </c>
      <c r="AQ75" s="231">
        <f>+Janvier!AS75</f>
        <v>6483.4615384615408</v>
      </c>
      <c r="AR75" s="16">
        <f t="shared" si="116"/>
        <v>6</v>
      </c>
      <c r="AS75" s="16">
        <f t="shared" si="117"/>
        <v>5</v>
      </c>
      <c r="AT75" s="16">
        <f t="shared" si="118"/>
        <v>5</v>
      </c>
      <c r="AU75" s="16">
        <f t="shared" si="119"/>
        <v>5</v>
      </c>
      <c r="AV75" s="16">
        <f t="shared" si="120"/>
        <v>5</v>
      </c>
      <c r="AW75" s="16">
        <f t="shared" si="121"/>
        <v>4</v>
      </c>
      <c r="AX75" s="16">
        <f t="shared" si="122"/>
        <v>6</v>
      </c>
      <c r="AY75" s="16">
        <f t="shared" si="123"/>
        <v>5</v>
      </c>
      <c r="AZ75" s="16">
        <f t="shared" si="124"/>
        <v>2</v>
      </c>
      <c r="BA75" s="17">
        <f t="shared" si="125"/>
        <v>6</v>
      </c>
    </row>
    <row r="76" spans="1:53" ht="15.6" x14ac:dyDescent="0.3">
      <c r="A76" s="203" t="s">
        <v>70</v>
      </c>
      <c r="B76" s="257">
        <v>43891</v>
      </c>
      <c r="C76" s="94">
        <v>43922</v>
      </c>
      <c r="D76" s="237">
        <v>3180</v>
      </c>
      <c r="E76" s="96">
        <v>2420</v>
      </c>
      <c r="F76" s="97">
        <v>0</v>
      </c>
      <c r="G76" s="95">
        <v>7580</v>
      </c>
      <c r="H76" s="96">
        <v>6120</v>
      </c>
      <c r="I76" s="97">
        <v>0</v>
      </c>
      <c r="J76" s="95">
        <v>5750</v>
      </c>
      <c r="K76" s="96">
        <v>4590</v>
      </c>
      <c r="L76" s="97">
        <v>0</v>
      </c>
      <c r="M76" s="95">
        <v>5840</v>
      </c>
      <c r="N76" s="96">
        <v>4586</v>
      </c>
      <c r="O76" s="97">
        <v>0</v>
      </c>
      <c r="P76" s="95">
        <v>3608</v>
      </c>
      <c r="Q76" s="96">
        <v>2941</v>
      </c>
      <c r="R76" s="97">
        <v>0</v>
      </c>
      <c r="S76" s="95">
        <v>1910</v>
      </c>
      <c r="T76" s="96">
        <v>1600</v>
      </c>
      <c r="U76" s="97">
        <v>0</v>
      </c>
      <c r="V76" s="95">
        <v>3530</v>
      </c>
      <c r="W76" s="96">
        <v>3640</v>
      </c>
      <c r="X76" s="97">
        <v>0</v>
      </c>
      <c r="Y76" s="95">
        <v>2070</v>
      </c>
      <c r="Z76" s="96">
        <v>1820</v>
      </c>
      <c r="AA76" s="97">
        <v>0</v>
      </c>
      <c r="AB76" s="95">
        <v>2400</v>
      </c>
      <c r="AC76" s="96">
        <v>800</v>
      </c>
      <c r="AD76" s="97">
        <v>0</v>
      </c>
      <c r="AE76" s="95">
        <v>3700</v>
      </c>
      <c r="AF76" s="96">
        <v>3840</v>
      </c>
      <c r="AG76" s="97">
        <v>0</v>
      </c>
      <c r="AH76" s="265">
        <f>+Janvier!AJ76</f>
        <v>2027.1016483516485</v>
      </c>
      <c r="AI76" s="231">
        <f>+Janvier!AK76</f>
        <v>6306.5384615384628</v>
      </c>
      <c r="AJ76" s="231">
        <f>+Janvier!AL76</f>
        <v>4729.9038461538466</v>
      </c>
      <c r="AK76" s="231">
        <f>+Janvier!AM76</f>
        <v>4729.9038461538466</v>
      </c>
      <c r="AL76" s="231">
        <f>+Janvier!AN76</f>
        <v>2866.6083916083921</v>
      </c>
      <c r="AM76" s="231">
        <f>+Janvier!AO76</f>
        <v>1773.7139423076924</v>
      </c>
      <c r="AN76" s="231">
        <f>+Janvier!AP76</f>
        <v>3547.4278846153848</v>
      </c>
      <c r="AO76" s="231">
        <f>+Janvier!AQ76</f>
        <v>1773.7139423076924</v>
      </c>
      <c r="AP76" s="231">
        <f>+Janvier!AR76</f>
        <v>1773.7139423076924</v>
      </c>
      <c r="AQ76" s="231">
        <f>+Janvier!AS76</f>
        <v>3153.2692307692314</v>
      </c>
      <c r="AR76" s="16">
        <f t="shared" si="116"/>
        <v>6</v>
      </c>
      <c r="AS76" s="16">
        <f t="shared" si="117"/>
        <v>5</v>
      </c>
      <c r="AT76" s="16">
        <f t="shared" si="118"/>
        <v>5</v>
      </c>
      <c r="AU76" s="16">
        <f t="shared" si="119"/>
        <v>5</v>
      </c>
      <c r="AV76" s="16">
        <f t="shared" si="120"/>
        <v>5</v>
      </c>
      <c r="AW76" s="16">
        <f t="shared" si="121"/>
        <v>5</v>
      </c>
      <c r="AX76" s="16">
        <f t="shared" si="122"/>
        <v>5</v>
      </c>
      <c r="AY76" s="16">
        <f t="shared" si="123"/>
        <v>5</v>
      </c>
      <c r="AZ76" s="16">
        <f t="shared" si="124"/>
        <v>2</v>
      </c>
      <c r="BA76" s="17">
        <f t="shared" si="125"/>
        <v>6</v>
      </c>
    </row>
    <row r="77" spans="1:53" ht="15.6" x14ac:dyDescent="0.3">
      <c r="A77" s="203" t="s">
        <v>71</v>
      </c>
      <c r="B77" s="257">
        <v>43891</v>
      </c>
      <c r="C77" s="94">
        <v>43922</v>
      </c>
      <c r="D77" s="237">
        <v>4000</v>
      </c>
      <c r="E77" s="96">
        <v>900</v>
      </c>
      <c r="F77" s="97">
        <v>0</v>
      </c>
      <c r="G77" s="95">
        <v>8800</v>
      </c>
      <c r="H77" s="96">
        <v>3600</v>
      </c>
      <c r="I77" s="97">
        <v>0</v>
      </c>
      <c r="J77" s="95">
        <v>3750</v>
      </c>
      <c r="K77" s="96">
        <v>1720</v>
      </c>
      <c r="L77" s="97">
        <v>0</v>
      </c>
      <c r="M77" s="95">
        <v>6800</v>
      </c>
      <c r="N77" s="96">
        <v>2452</v>
      </c>
      <c r="O77" s="97">
        <v>0</v>
      </c>
      <c r="P77" s="95">
        <v>5043</v>
      </c>
      <c r="Q77" s="96">
        <v>1393</v>
      </c>
      <c r="R77" s="97">
        <v>0</v>
      </c>
      <c r="S77" s="95">
        <v>2080</v>
      </c>
      <c r="T77" s="96">
        <v>610</v>
      </c>
      <c r="U77" s="97">
        <v>0</v>
      </c>
      <c r="V77" s="95">
        <v>0</v>
      </c>
      <c r="W77" s="96">
        <v>1790</v>
      </c>
      <c r="X77" s="97">
        <v>0</v>
      </c>
      <c r="Y77" s="95">
        <v>3000</v>
      </c>
      <c r="Z77" s="96">
        <v>2900</v>
      </c>
      <c r="AA77" s="97">
        <v>0</v>
      </c>
      <c r="AB77" s="95">
        <v>1000</v>
      </c>
      <c r="AC77" s="96">
        <v>80</v>
      </c>
      <c r="AD77" s="97">
        <v>0</v>
      </c>
      <c r="AE77" s="95">
        <v>5700</v>
      </c>
      <c r="AF77" s="96">
        <v>650</v>
      </c>
      <c r="AG77" s="97">
        <v>0</v>
      </c>
      <c r="AH77" s="265">
        <f>+Janvier!AJ77</f>
        <v>3524.4642857142853</v>
      </c>
      <c r="AI77" s="231">
        <f>+Janvier!AK77</f>
        <v>10965.000000000002</v>
      </c>
      <c r="AJ77" s="231">
        <f>+Janvier!AL77</f>
        <v>8223.75</v>
      </c>
      <c r="AK77" s="231">
        <f>+Janvier!AM77</f>
        <v>8223.75</v>
      </c>
      <c r="AL77" s="231">
        <f>+Janvier!AN77</f>
        <v>4984.0909090909099</v>
      </c>
      <c r="AM77" s="231">
        <f>+Janvier!AO77</f>
        <v>3083.9062500000005</v>
      </c>
      <c r="AN77" s="231">
        <f>+Janvier!AP77</f>
        <v>6167.8125000000009</v>
      </c>
      <c r="AO77" s="231">
        <f>+Janvier!AQ77</f>
        <v>3083.9062500000005</v>
      </c>
      <c r="AP77" s="231">
        <f>+Janvier!AR77</f>
        <v>3083.9062500000005</v>
      </c>
      <c r="AQ77" s="231">
        <f>+Janvier!AS77</f>
        <v>5482.5000000000009</v>
      </c>
      <c r="AR77" s="16">
        <f t="shared" si="116"/>
        <v>1</v>
      </c>
      <c r="AS77" s="16">
        <f t="shared" si="117"/>
        <v>2</v>
      </c>
      <c r="AT77" s="16">
        <f t="shared" si="118"/>
        <v>1</v>
      </c>
      <c r="AU77" s="16">
        <f t="shared" si="119"/>
        <v>1</v>
      </c>
      <c r="AV77" s="16">
        <f t="shared" si="120"/>
        <v>1</v>
      </c>
      <c r="AW77" s="16">
        <f t="shared" si="121"/>
        <v>1</v>
      </c>
      <c r="AX77" s="16">
        <f t="shared" si="122"/>
        <v>1</v>
      </c>
      <c r="AY77" s="16">
        <f t="shared" si="123"/>
        <v>5</v>
      </c>
      <c r="AZ77" s="16">
        <f t="shared" si="124"/>
        <v>0</v>
      </c>
      <c r="BA77" s="17">
        <f t="shared" si="125"/>
        <v>1</v>
      </c>
    </row>
    <row r="78" spans="1:53" ht="15.6" x14ac:dyDescent="0.3">
      <c r="A78" s="203" t="s">
        <v>72</v>
      </c>
      <c r="B78" s="257">
        <v>43891</v>
      </c>
      <c r="C78" s="94">
        <v>43922</v>
      </c>
      <c r="D78" s="237">
        <v>340</v>
      </c>
      <c r="E78" s="96">
        <v>340</v>
      </c>
      <c r="F78" s="97">
        <v>0</v>
      </c>
      <c r="G78" s="95">
        <v>720</v>
      </c>
      <c r="H78" s="96">
        <v>720</v>
      </c>
      <c r="I78" s="97">
        <v>0</v>
      </c>
      <c r="J78" s="95">
        <v>540</v>
      </c>
      <c r="K78" s="96">
        <v>540</v>
      </c>
      <c r="L78" s="97">
        <v>0</v>
      </c>
      <c r="M78" s="95">
        <v>540</v>
      </c>
      <c r="N78" s="96">
        <v>540</v>
      </c>
      <c r="O78" s="97">
        <v>0</v>
      </c>
      <c r="P78" s="95">
        <v>371</v>
      </c>
      <c r="Q78" s="96">
        <v>371</v>
      </c>
      <c r="R78" s="97">
        <v>0</v>
      </c>
      <c r="S78" s="95">
        <v>160</v>
      </c>
      <c r="T78" s="96">
        <v>160</v>
      </c>
      <c r="U78" s="97">
        <v>0</v>
      </c>
      <c r="V78" s="95">
        <v>580</v>
      </c>
      <c r="W78" s="96">
        <v>580</v>
      </c>
      <c r="X78" s="97">
        <v>0</v>
      </c>
      <c r="Y78" s="95">
        <v>170</v>
      </c>
      <c r="Z78" s="96">
        <v>170</v>
      </c>
      <c r="AA78" s="97">
        <v>0</v>
      </c>
      <c r="AB78" s="95">
        <v>220</v>
      </c>
      <c r="AC78" s="96">
        <v>220</v>
      </c>
      <c r="AD78" s="97">
        <v>0</v>
      </c>
      <c r="AE78" s="95">
        <v>380</v>
      </c>
      <c r="AF78" s="96">
        <v>380</v>
      </c>
      <c r="AG78" s="97">
        <v>0</v>
      </c>
      <c r="AH78" s="265">
        <f>+Janvier!AJ78</f>
        <v>304.98626373626377</v>
      </c>
      <c r="AI78" s="231">
        <f>+Janvier!AK78</f>
        <v>948.84615384615404</v>
      </c>
      <c r="AJ78" s="231">
        <f>+Janvier!AL78</f>
        <v>711.63461538461547</v>
      </c>
      <c r="AK78" s="231">
        <f>+Janvier!AM78</f>
        <v>711.63461538461547</v>
      </c>
      <c r="AL78" s="231">
        <f>+Janvier!AN78</f>
        <v>431.29370629370635</v>
      </c>
      <c r="AM78" s="231">
        <f>+Janvier!AO78</f>
        <v>266.86298076923077</v>
      </c>
      <c r="AN78" s="231">
        <f>+Janvier!AP78</f>
        <v>533.72596153846155</v>
      </c>
      <c r="AO78" s="231">
        <f>+Janvier!AQ78</f>
        <v>266.86298076923077</v>
      </c>
      <c r="AP78" s="231">
        <f>+Janvier!AR78</f>
        <v>266.86298076923077</v>
      </c>
      <c r="AQ78" s="231">
        <f>+Janvier!AS78</f>
        <v>474.42307692307702</v>
      </c>
      <c r="AR78" s="16">
        <f t="shared" si="116"/>
        <v>6</v>
      </c>
      <c r="AS78" s="16">
        <f t="shared" si="117"/>
        <v>4</v>
      </c>
      <c r="AT78" s="16">
        <f t="shared" si="118"/>
        <v>4</v>
      </c>
      <c r="AU78" s="16">
        <f t="shared" si="119"/>
        <v>4</v>
      </c>
      <c r="AV78" s="16">
        <f t="shared" si="120"/>
        <v>4</v>
      </c>
      <c r="AW78" s="16">
        <f t="shared" si="121"/>
        <v>3</v>
      </c>
      <c r="AX78" s="16">
        <f t="shared" si="122"/>
        <v>5</v>
      </c>
      <c r="AY78" s="16">
        <f t="shared" si="123"/>
        <v>3</v>
      </c>
      <c r="AZ78" s="16">
        <f t="shared" si="124"/>
        <v>4</v>
      </c>
      <c r="BA78" s="17">
        <f t="shared" si="125"/>
        <v>4</v>
      </c>
    </row>
    <row r="79" spans="1:53" ht="16.2" thickBot="1" x14ac:dyDescent="0.35">
      <c r="A79" s="203" t="s">
        <v>73</v>
      </c>
      <c r="B79" s="270">
        <v>43891</v>
      </c>
      <c r="C79" s="255">
        <v>43922</v>
      </c>
      <c r="D79" s="269">
        <v>2640</v>
      </c>
      <c r="E79" s="109">
        <v>360</v>
      </c>
      <c r="F79" s="110">
        <v>0</v>
      </c>
      <c r="G79" s="111">
        <v>5390</v>
      </c>
      <c r="H79" s="109">
        <v>2940</v>
      </c>
      <c r="I79" s="110">
        <v>0</v>
      </c>
      <c r="J79" s="111">
        <v>4780</v>
      </c>
      <c r="K79" s="109">
        <v>630</v>
      </c>
      <c r="L79" s="110">
        <v>0</v>
      </c>
      <c r="M79" s="111">
        <v>5404</v>
      </c>
      <c r="N79" s="109">
        <v>612</v>
      </c>
      <c r="O79" s="110">
        <v>0</v>
      </c>
      <c r="P79" s="111">
        <v>3003</v>
      </c>
      <c r="Q79" s="109">
        <v>855</v>
      </c>
      <c r="R79" s="110">
        <v>0</v>
      </c>
      <c r="S79" s="111">
        <v>1980</v>
      </c>
      <c r="T79" s="109">
        <v>200</v>
      </c>
      <c r="U79" s="110">
        <v>0</v>
      </c>
      <c r="V79" s="111">
        <v>3040</v>
      </c>
      <c r="W79" s="109">
        <v>1740</v>
      </c>
      <c r="X79" s="110">
        <v>0</v>
      </c>
      <c r="Y79" s="111">
        <v>1770</v>
      </c>
      <c r="Z79" s="109">
        <v>620</v>
      </c>
      <c r="AA79" s="110">
        <v>0</v>
      </c>
      <c r="AB79" s="111">
        <v>930</v>
      </c>
      <c r="AC79" s="109">
        <v>10</v>
      </c>
      <c r="AD79" s="110">
        <v>0</v>
      </c>
      <c r="AE79" s="111">
        <v>6400</v>
      </c>
      <c r="AF79" s="109">
        <v>4570</v>
      </c>
      <c r="AG79" s="110">
        <v>0</v>
      </c>
      <c r="AH79" s="265">
        <f>+Janvier!AJ79</f>
        <v>2652.2802197802202</v>
      </c>
      <c r="AI79" s="231">
        <f>+Janvier!AK79</f>
        <v>8251.5384615384628</v>
      </c>
      <c r="AJ79" s="231">
        <f>+Janvier!AL79</f>
        <v>6188.6538461538466</v>
      </c>
      <c r="AK79" s="231">
        <f>+Janvier!AM79</f>
        <v>6188.6538461538466</v>
      </c>
      <c r="AL79" s="231">
        <f>+Janvier!AN79</f>
        <v>3750.6993006993016</v>
      </c>
      <c r="AM79" s="231">
        <f>+Janvier!AO79</f>
        <v>2320.7451923076924</v>
      </c>
      <c r="AN79" s="231">
        <f>+Janvier!AP79</f>
        <v>4641.4903846153848</v>
      </c>
      <c r="AO79" s="231">
        <f>+Janvier!AQ79</f>
        <v>2320.7451923076924</v>
      </c>
      <c r="AP79" s="231">
        <f>+Janvier!AR79</f>
        <v>2320.7451923076924</v>
      </c>
      <c r="AQ79" s="231">
        <f>+Janvier!AS79</f>
        <v>4125.7692307692314</v>
      </c>
      <c r="AR79" s="32">
        <f t="shared" si="116"/>
        <v>1</v>
      </c>
      <c r="AS79" s="32">
        <f t="shared" si="117"/>
        <v>2</v>
      </c>
      <c r="AT79" s="32">
        <f t="shared" si="118"/>
        <v>1</v>
      </c>
      <c r="AU79" s="32">
        <f t="shared" si="119"/>
        <v>0</v>
      </c>
      <c r="AV79" s="32">
        <f t="shared" si="120"/>
        <v>1</v>
      </c>
      <c r="AW79" s="32">
        <f t="shared" si="121"/>
        <v>0</v>
      </c>
      <c r="AX79" s="32">
        <f t="shared" si="122"/>
        <v>2</v>
      </c>
      <c r="AY79" s="32">
        <f t="shared" si="123"/>
        <v>1</v>
      </c>
      <c r="AZ79" s="32">
        <f t="shared" si="124"/>
        <v>0</v>
      </c>
      <c r="BA79" s="33">
        <f t="shared" si="125"/>
        <v>6</v>
      </c>
    </row>
    <row r="80" spans="1:53" ht="15.6" x14ac:dyDescent="0.3">
      <c r="A80" s="202" t="s">
        <v>90</v>
      </c>
      <c r="B80" s="256" t="s">
        <v>143</v>
      </c>
      <c r="C80" s="160">
        <v>43921</v>
      </c>
      <c r="D80" s="321">
        <v>0</v>
      </c>
      <c r="E80" s="322">
        <v>20600</v>
      </c>
      <c r="F80" s="323">
        <v>0</v>
      </c>
      <c r="G80" s="321">
        <v>52320</v>
      </c>
      <c r="H80" s="322">
        <v>56320</v>
      </c>
      <c r="I80" s="324">
        <v>0</v>
      </c>
      <c r="J80" s="320">
        <v>38300</v>
      </c>
      <c r="K80" s="318">
        <v>42770</v>
      </c>
      <c r="L80" s="319">
        <v>0</v>
      </c>
      <c r="M80" s="321">
        <v>38400</v>
      </c>
      <c r="N80" s="322">
        <v>42800</v>
      </c>
      <c r="O80" s="323">
        <v>0</v>
      </c>
      <c r="P80" s="321">
        <v>16000</v>
      </c>
      <c r="Q80" s="322">
        <v>17650</v>
      </c>
      <c r="R80" s="323">
        <v>0</v>
      </c>
      <c r="S80" s="321">
        <v>11300</v>
      </c>
      <c r="T80" s="322">
        <v>14300</v>
      </c>
      <c r="U80" s="323">
        <v>0</v>
      </c>
      <c r="V80" s="321">
        <v>13500</v>
      </c>
      <c r="W80" s="322">
        <v>33900</v>
      </c>
      <c r="X80" s="323">
        <v>0</v>
      </c>
      <c r="Y80" s="321">
        <v>13000</v>
      </c>
      <c r="Z80" s="322">
        <v>16900</v>
      </c>
      <c r="AA80" s="323">
        <v>0</v>
      </c>
      <c r="AB80" s="321">
        <v>12000</v>
      </c>
      <c r="AC80" s="322">
        <v>17000</v>
      </c>
      <c r="AD80" s="323">
        <v>0</v>
      </c>
      <c r="AE80" s="321">
        <v>24800</v>
      </c>
      <c r="AF80" s="322">
        <v>40300</v>
      </c>
      <c r="AG80" s="323">
        <v>0</v>
      </c>
      <c r="AH80" s="231">
        <f>+Janvier!AJ80</f>
        <v>17212.634999999998</v>
      </c>
      <c r="AI80" s="231">
        <f>+Janvier!AK80</f>
        <v>59198.798076923078</v>
      </c>
      <c r="AJ80" s="231">
        <f>+Janvier!AL80</f>
        <v>39426.39951923077</v>
      </c>
      <c r="AK80" s="231">
        <f>+Janvier!AM80</f>
        <v>39426.39951923077</v>
      </c>
      <c r="AL80" s="231">
        <f>+Janvier!AN80</f>
        <v>24863.495192307691</v>
      </c>
      <c r="AM80" s="231">
        <f>+Janvier!AO80</f>
        <v>14799.69951923077</v>
      </c>
      <c r="AN80" s="231">
        <f>+Janvier!AP80</f>
        <v>29599.399038461539</v>
      </c>
      <c r="AO80" s="231">
        <f>+Janvier!AQ80</f>
        <v>14799.69951923077</v>
      </c>
      <c r="AP80" s="231">
        <f>+Janvier!AR80</f>
        <v>14799.69951923077</v>
      </c>
      <c r="AQ80" s="231">
        <f>+Janvier!AS80</f>
        <v>26721.713076923079</v>
      </c>
      <c r="AR80" s="16">
        <f>ROUND(E80/(AH80/15),0)</f>
        <v>18</v>
      </c>
      <c r="AS80" s="16">
        <f t="shared" ref="AS80" si="126">ROUND(H80/(AI80/15),0)</f>
        <v>14</v>
      </c>
      <c r="AT80" s="16">
        <f t="shared" ref="AT80" si="127">ROUND(K80/(AJ80/15),0)</f>
        <v>16</v>
      </c>
      <c r="AU80" s="16">
        <f t="shared" ref="AU80" si="128">ROUND(N80/(AK80/15),0)</f>
        <v>16</v>
      </c>
      <c r="AV80" s="16">
        <f t="shared" ref="AV80" si="129">ROUND(Q80/(AL80/15),0)</f>
        <v>11</v>
      </c>
      <c r="AW80" s="16">
        <f t="shared" ref="AW80" si="130">ROUND(T80/(AM80/15),0)</f>
        <v>14</v>
      </c>
      <c r="AX80" s="16">
        <f t="shared" ref="AX80" si="131">ROUND(W80/(AN80/15),0)</f>
        <v>17</v>
      </c>
      <c r="AY80" s="16">
        <f t="shared" ref="AY80" si="132">ROUND(Z80/(AO80/15),0)</f>
        <v>17</v>
      </c>
      <c r="AZ80" s="16">
        <f t="shared" ref="AZ80" si="133">ROUND(AC80/(AP80/15),0)</f>
        <v>17</v>
      </c>
      <c r="BA80" s="17">
        <f t="shared" ref="BA80" si="134">ROUND(AF80/(AQ80/15),0)</f>
        <v>23</v>
      </c>
    </row>
    <row r="81" spans="1:53" ht="15.6" x14ac:dyDescent="0.3">
      <c r="A81" s="199" t="s">
        <v>74</v>
      </c>
      <c r="B81" s="257" t="s">
        <v>143</v>
      </c>
      <c r="C81" s="94">
        <v>43921</v>
      </c>
      <c r="D81" s="314">
        <v>300</v>
      </c>
      <c r="E81" s="311">
        <v>900</v>
      </c>
      <c r="F81" s="313">
        <v>0</v>
      </c>
      <c r="G81" s="314">
        <v>4000</v>
      </c>
      <c r="H81" s="312">
        <v>220</v>
      </c>
      <c r="I81" s="315">
        <v>0</v>
      </c>
      <c r="J81" s="316">
        <v>3000</v>
      </c>
      <c r="K81" s="312">
        <v>100</v>
      </c>
      <c r="L81" s="317">
        <v>0</v>
      </c>
      <c r="M81" s="316">
        <v>3000</v>
      </c>
      <c r="N81" s="312">
        <v>616</v>
      </c>
      <c r="O81" s="317">
        <v>0</v>
      </c>
      <c r="P81" s="316">
        <v>2000</v>
      </c>
      <c r="Q81" s="312">
        <v>279</v>
      </c>
      <c r="R81" s="317">
        <v>0</v>
      </c>
      <c r="S81" s="316">
        <v>1000</v>
      </c>
      <c r="T81" s="312">
        <v>600</v>
      </c>
      <c r="U81" s="317">
        <v>0</v>
      </c>
      <c r="V81" s="316">
        <v>1000</v>
      </c>
      <c r="W81" s="312">
        <v>1120</v>
      </c>
      <c r="X81" s="317">
        <v>0</v>
      </c>
      <c r="Y81" s="316">
        <v>500</v>
      </c>
      <c r="Z81" s="312">
        <v>1120</v>
      </c>
      <c r="AA81" s="317">
        <v>0</v>
      </c>
      <c r="AB81" s="316">
        <v>1000</v>
      </c>
      <c r="AC81" s="312">
        <v>740</v>
      </c>
      <c r="AD81" s="317">
        <v>0</v>
      </c>
      <c r="AE81" s="316">
        <v>1000</v>
      </c>
      <c r="AF81" s="312">
        <v>1240</v>
      </c>
      <c r="AG81" s="317">
        <v>0</v>
      </c>
      <c r="AH81" s="231">
        <f>+Janvier!AJ81</f>
        <v>1153.1868131868132</v>
      </c>
      <c r="AI81" s="231">
        <f>+Janvier!AK81</f>
        <v>3587.6923076923085</v>
      </c>
      <c r="AJ81" s="231">
        <f>+Janvier!AL81</f>
        <v>2690.7692307692309</v>
      </c>
      <c r="AK81" s="231">
        <f>+Janvier!AM81</f>
        <v>2690.7692307692309</v>
      </c>
      <c r="AL81" s="231">
        <f>+Janvier!AN81</f>
        <v>1630.7692307692312</v>
      </c>
      <c r="AM81" s="231">
        <f>+Janvier!AO81</f>
        <v>1009.0384615384617</v>
      </c>
      <c r="AN81" s="231">
        <f>+Janvier!AP81</f>
        <v>2018.0769230769233</v>
      </c>
      <c r="AO81" s="231">
        <f>+Janvier!AQ81</f>
        <v>1009.0384615384617</v>
      </c>
      <c r="AP81" s="231">
        <f>+Janvier!AR81</f>
        <v>1009.0384615384617</v>
      </c>
      <c r="AQ81" s="231">
        <f>+Janvier!AS81</f>
        <v>1793.8461538461543</v>
      </c>
      <c r="AR81" s="16">
        <f>ROUND(E81/(AH81/5),0)</f>
        <v>4</v>
      </c>
      <c r="AS81" s="16">
        <f t="shared" ref="AS81:AS85" si="135">ROUND(H81/(AI81/5),0)</f>
        <v>0</v>
      </c>
      <c r="AT81" s="16">
        <f t="shared" ref="AT81:AT85" si="136">ROUND(K81/(AJ81/5),0)</f>
        <v>0</v>
      </c>
      <c r="AU81" s="16">
        <f t="shared" ref="AU81:AU85" si="137">ROUND(N81/(AK81/5),0)</f>
        <v>1</v>
      </c>
      <c r="AV81" s="16">
        <f t="shared" ref="AV81:AV85" si="138">ROUND(Q81/(AL81/5),0)</f>
        <v>1</v>
      </c>
      <c r="AW81" s="16">
        <f t="shared" ref="AW81:AW85" si="139">ROUND(T81/(AM81/5),0)</f>
        <v>3</v>
      </c>
      <c r="AX81" s="16">
        <f t="shared" ref="AX81:AX85" si="140">ROUND(W81/(AN81/5),0)</f>
        <v>3</v>
      </c>
      <c r="AY81" s="16">
        <f t="shared" ref="AY81:AY85" si="141">ROUND(Z81/(AO81/5),0)</f>
        <v>6</v>
      </c>
      <c r="AZ81" s="16">
        <f t="shared" ref="AZ81:AZ85" si="142">ROUND(AC81/(AP81/5),0)</f>
        <v>4</v>
      </c>
      <c r="BA81" s="17">
        <f t="shared" ref="BA81:BA85" si="143">ROUND(AF81/(AQ81/5),0)</f>
        <v>3</v>
      </c>
    </row>
    <row r="82" spans="1:53" ht="15.6" x14ac:dyDescent="0.3">
      <c r="A82" s="199" t="s">
        <v>75</v>
      </c>
      <c r="B82" s="257" t="s">
        <v>143</v>
      </c>
      <c r="C82" s="94">
        <v>43921</v>
      </c>
      <c r="D82" s="316">
        <v>0</v>
      </c>
      <c r="E82" s="312">
        <v>1060</v>
      </c>
      <c r="F82" s="317">
        <v>0</v>
      </c>
      <c r="G82" s="316">
        <v>5000</v>
      </c>
      <c r="H82" s="312">
        <v>880</v>
      </c>
      <c r="I82" s="315">
        <v>0</v>
      </c>
      <c r="J82" s="316">
        <v>4100</v>
      </c>
      <c r="K82" s="312">
        <v>640</v>
      </c>
      <c r="L82" s="317">
        <v>0</v>
      </c>
      <c r="M82" s="316">
        <v>4200</v>
      </c>
      <c r="N82" s="312">
        <v>452</v>
      </c>
      <c r="O82" s="317">
        <v>0</v>
      </c>
      <c r="P82" s="316">
        <v>2500</v>
      </c>
      <c r="Q82" s="312">
        <v>60</v>
      </c>
      <c r="R82" s="317">
        <v>0</v>
      </c>
      <c r="S82" s="316">
        <v>1100</v>
      </c>
      <c r="T82" s="312">
        <v>340</v>
      </c>
      <c r="U82" s="317">
        <v>0</v>
      </c>
      <c r="V82" s="316">
        <v>1900</v>
      </c>
      <c r="W82" s="312">
        <v>1270</v>
      </c>
      <c r="X82" s="317">
        <v>0</v>
      </c>
      <c r="Y82" s="316">
        <v>900</v>
      </c>
      <c r="Z82" s="312">
        <v>600</v>
      </c>
      <c r="AA82" s="317">
        <v>0</v>
      </c>
      <c r="AB82" s="316">
        <v>1000</v>
      </c>
      <c r="AC82" s="312">
        <v>550</v>
      </c>
      <c r="AD82" s="317">
        <v>0</v>
      </c>
      <c r="AE82" s="316">
        <v>1600</v>
      </c>
      <c r="AF82" s="312">
        <v>1190</v>
      </c>
      <c r="AG82" s="317">
        <v>0</v>
      </c>
      <c r="AH82" s="231">
        <f>+Janvier!AJ82</f>
        <v>1355.5631868131868</v>
      </c>
      <c r="AI82" s="231">
        <f>+Janvier!AK82</f>
        <v>4217.3076923076924</v>
      </c>
      <c r="AJ82" s="231">
        <f>+Janvier!AL82</f>
        <v>3162.9807692307691</v>
      </c>
      <c r="AK82" s="231">
        <f>+Janvier!AM82</f>
        <v>3162.9807692307691</v>
      </c>
      <c r="AL82" s="231">
        <f>+Janvier!AN82</f>
        <v>1916.9580419580418</v>
      </c>
      <c r="AM82" s="231">
        <f>+Janvier!AO82</f>
        <v>1186.1177884615383</v>
      </c>
      <c r="AN82" s="231">
        <f>+Janvier!AP82</f>
        <v>2372.2355769230767</v>
      </c>
      <c r="AO82" s="231">
        <f>+Janvier!AQ82</f>
        <v>1186.1177884615383</v>
      </c>
      <c r="AP82" s="231">
        <f>+Janvier!AR82</f>
        <v>1186.1177884615383</v>
      </c>
      <c r="AQ82" s="231">
        <f>+Janvier!AS82</f>
        <v>2108.6538461538462</v>
      </c>
      <c r="AR82" s="16">
        <f>ROUND(E82/(AH82/5),0)</f>
        <v>4</v>
      </c>
      <c r="AS82" s="16">
        <f t="shared" si="135"/>
        <v>1</v>
      </c>
      <c r="AT82" s="16">
        <f t="shared" si="136"/>
        <v>1</v>
      </c>
      <c r="AU82" s="16">
        <f t="shared" si="137"/>
        <v>1</v>
      </c>
      <c r="AV82" s="16">
        <f t="shared" si="138"/>
        <v>0</v>
      </c>
      <c r="AW82" s="16">
        <f t="shared" si="139"/>
        <v>1</v>
      </c>
      <c r="AX82" s="16">
        <f t="shared" si="140"/>
        <v>3</v>
      </c>
      <c r="AY82" s="16">
        <f t="shared" si="141"/>
        <v>3</v>
      </c>
      <c r="AZ82" s="16">
        <f t="shared" si="142"/>
        <v>2</v>
      </c>
      <c r="BA82" s="17">
        <f t="shared" si="143"/>
        <v>3</v>
      </c>
    </row>
    <row r="83" spans="1:53" ht="15.6" x14ac:dyDescent="0.3">
      <c r="A83" s="199" t="s">
        <v>76</v>
      </c>
      <c r="B83" s="257" t="s">
        <v>143</v>
      </c>
      <c r="C83" s="94">
        <v>43921</v>
      </c>
      <c r="D83" s="316">
        <v>1000</v>
      </c>
      <c r="E83" s="312">
        <v>260</v>
      </c>
      <c r="F83" s="317">
        <v>0</v>
      </c>
      <c r="G83" s="316">
        <v>2500</v>
      </c>
      <c r="H83" s="312">
        <v>860</v>
      </c>
      <c r="I83" s="315">
        <v>0</v>
      </c>
      <c r="J83" s="316">
        <v>2400</v>
      </c>
      <c r="K83" s="312">
        <v>950</v>
      </c>
      <c r="L83" s="317">
        <v>0</v>
      </c>
      <c r="M83" s="316">
        <v>2200</v>
      </c>
      <c r="N83" s="312">
        <v>880</v>
      </c>
      <c r="O83" s="317">
        <v>0</v>
      </c>
      <c r="P83" s="316">
        <v>1150</v>
      </c>
      <c r="Q83" s="312">
        <v>540</v>
      </c>
      <c r="R83" s="317">
        <v>0</v>
      </c>
      <c r="S83" s="316">
        <v>500</v>
      </c>
      <c r="T83" s="312">
        <v>290</v>
      </c>
      <c r="U83" s="317">
        <v>0</v>
      </c>
      <c r="V83" s="316">
        <v>1000</v>
      </c>
      <c r="W83" s="312">
        <v>1090</v>
      </c>
      <c r="X83" s="317">
        <v>0</v>
      </c>
      <c r="Y83" s="316">
        <v>0</v>
      </c>
      <c r="Z83" s="312">
        <v>670</v>
      </c>
      <c r="AA83" s="317">
        <v>0</v>
      </c>
      <c r="AB83" s="316">
        <v>200</v>
      </c>
      <c r="AC83" s="312">
        <v>550</v>
      </c>
      <c r="AD83" s="317">
        <v>0</v>
      </c>
      <c r="AE83" s="316">
        <v>600</v>
      </c>
      <c r="AF83" s="312">
        <v>900</v>
      </c>
      <c r="AG83" s="317">
        <v>0</v>
      </c>
      <c r="AH83" s="231">
        <f>+Janvier!AJ83</f>
        <v>895.92032967032981</v>
      </c>
      <c r="AI83" s="231">
        <f>+Janvier!AK83</f>
        <v>2787.3076923076928</v>
      </c>
      <c r="AJ83" s="231">
        <f>+Janvier!AL83</f>
        <v>2090.4807692307695</v>
      </c>
      <c r="AK83" s="231">
        <f>+Janvier!AM83</f>
        <v>2090.4807692307695</v>
      </c>
      <c r="AL83" s="231">
        <f>+Janvier!AN83</f>
        <v>1266.958041958042</v>
      </c>
      <c r="AM83" s="231">
        <f>+Janvier!AO83</f>
        <v>783.93028846153834</v>
      </c>
      <c r="AN83" s="231">
        <f>+Janvier!AP83</f>
        <v>1567.8605769230767</v>
      </c>
      <c r="AO83" s="231">
        <f>+Janvier!AQ83</f>
        <v>783.93028846153834</v>
      </c>
      <c r="AP83" s="231">
        <f>+Janvier!AR83</f>
        <v>783.93028846153834</v>
      </c>
      <c r="AQ83" s="231">
        <f>+Janvier!AS83</f>
        <v>1393.6538461538464</v>
      </c>
      <c r="AR83" s="16">
        <f>ROUND(E83/(AH83/5),0)</f>
        <v>1</v>
      </c>
      <c r="AS83" s="16">
        <f t="shared" si="135"/>
        <v>2</v>
      </c>
      <c r="AT83" s="16">
        <f t="shared" si="136"/>
        <v>2</v>
      </c>
      <c r="AU83" s="16">
        <f t="shared" si="137"/>
        <v>2</v>
      </c>
      <c r="AV83" s="16">
        <f t="shared" si="138"/>
        <v>2</v>
      </c>
      <c r="AW83" s="16">
        <f t="shared" si="139"/>
        <v>2</v>
      </c>
      <c r="AX83" s="16">
        <f t="shared" si="140"/>
        <v>3</v>
      </c>
      <c r="AY83" s="16">
        <f t="shared" si="141"/>
        <v>4</v>
      </c>
      <c r="AZ83" s="16">
        <f t="shared" si="142"/>
        <v>4</v>
      </c>
      <c r="BA83" s="17">
        <f t="shared" si="143"/>
        <v>3</v>
      </c>
    </row>
    <row r="84" spans="1:53" ht="15.6" x14ac:dyDescent="0.3">
      <c r="A84" s="199" t="s">
        <v>77</v>
      </c>
      <c r="B84" s="257" t="s">
        <v>143</v>
      </c>
      <c r="C84" s="94">
        <v>43921</v>
      </c>
      <c r="D84" s="316">
        <v>700</v>
      </c>
      <c r="E84" s="312">
        <v>1160</v>
      </c>
      <c r="F84" s="317">
        <v>0</v>
      </c>
      <c r="G84" s="316">
        <v>5000</v>
      </c>
      <c r="H84" s="312">
        <v>1440</v>
      </c>
      <c r="I84" s="315">
        <v>0</v>
      </c>
      <c r="J84" s="316">
        <v>4300</v>
      </c>
      <c r="K84" s="312">
        <v>800</v>
      </c>
      <c r="L84" s="317">
        <v>0</v>
      </c>
      <c r="M84" s="316">
        <v>4200</v>
      </c>
      <c r="N84" s="312">
        <v>616</v>
      </c>
      <c r="O84" s="317">
        <v>0</v>
      </c>
      <c r="P84" s="316">
        <v>2800</v>
      </c>
      <c r="Q84" s="312">
        <v>221</v>
      </c>
      <c r="R84" s="317">
        <v>0</v>
      </c>
      <c r="S84" s="316">
        <v>600</v>
      </c>
      <c r="T84" s="312">
        <v>470</v>
      </c>
      <c r="U84" s="317">
        <v>0</v>
      </c>
      <c r="V84" s="316">
        <v>1600</v>
      </c>
      <c r="W84" s="312">
        <v>2090</v>
      </c>
      <c r="X84" s="317">
        <v>0</v>
      </c>
      <c r="Y84" s="316">
        <v>1100</v>
      </c>
      <c r="Z84" s="312">
        <v>770</v>
      </c>
      <c r="AA84" s="317">
        <v>0</v>
      </c>
      <c r="AB84" s="316">
        <v>1000</v>
      </c>
      <c r="AC84" s="312">
        <v>700</v>
      </c>
      <c r="AD84" s="317">
        <v>0</v>
      </c>
      <c r="AE84" s="316">
        <v>600</v>
      </c>
      <c r="AF84" s="312">
        <v>1770</v>
      </c>
      <c r="AG84" s="317">
        <v>0</v>
      </c>
      <c r="AH84" s="231">
        <f>+Janvier!AJ84</f>
        <v>1507.1291208791208</v>
      </c>
      <c r="AI84" s="231">
        <f>+Janvier!AK84</f>
        <v>4688.8461538461534</v>
      </c>
      <c r="AJ84" s="231">
        <f>+Janvier!AL84</f>
        <v>3516.6346153846152</v>
      </c>
      <c r="AK84" s="231">
        <f>+Janvier!AM84</f>
        <v>3516.6346153846152</v>
      </c>
      <c r="AL84" s="231">
        <f>+Janvier!AN84</f>
        <v>2131.2937062937062</v>
      </c>
      <c r="AM84" s="231">
        <f>+Janvier!AO84</f>
        <v>1318.7379807692307</v>
      </c>
      <c r="AN84" s="231">
        <f>+Janvier!AP84</f>
        <v>2637.4759615384614</v>
      </c>
      <c r="AO84" s="231">
        <f>+Janvier!AQ84</f>
        <v>1318.7379807692307</v>
      </c>
      <c r="AP84" s="231">
        <f>+Janvier!AR84</f>
        <v>1318.7379807692307</v>
      </c>
      <c r="AQ84" s="231">
        <f>+Janvier!AS84</f>
        <v>2344.4230769230767</v>
      </c>
      <c r="AR84" s="16">
        <f>ROUND(E84/(AH84/5),0)</f>
        <v>4</v>
      </c>
      <c r="AS84" s="16">
        <f t="shared" si="135"/>
        <v>2</v>
      </c>
      <c r="AT84" s="16">
        <f t="shared" si="136"/>
        <v>1</v>
      </c>
      <c r="AU84" s="16">
        <f t="shared" si="137"/>
        <v>1</v>
      </c>
      <c r="AV84" s="16">
        <f t="shared" si="138"/>
        <v>1</v>
      </c>
      <c r="AW84" s="16">
        <f t="shared" si="139"/>
        <v>2</v>
      </c>
      <c r="AX84" s="16">
        <f t="shared" si="140"/>
        <v>4</v>
      </c>
      <c r="AY84" s="16">
        <f t="shared" si="141"/>
        <v>3</v>
      </c>
      <c r="AZ84" s="16">
        <f t="shared" si="142"/>
        <v>3</v>
      </c>
      <c r="BA84" s="17">
        <f t="shared" si="143"/>
        <v>4</v>
      </c>
    </row>
    <row r="85" spans="1:53" ht="15" thickBot="1" x14ac:dyDescent="0.35">
      <c r="A85" s="121" t="s">
        <v>78</v>
      </c>
      <c r="B85" s="258" t="s">
        <v>143</v>
      </c>
      <c r="C85" s="143">
        <v>43921</v>
      </c>
      <c r="D85" s="316">
        <v>400</v>
      </c>
      <c r="E85" s="312">
        <v>320</v>
      </c>
      <c r="F85" s="317">
        <v>0</v>
      </c>
      <c r="G85" s="316">
        <v>2500</v>
      </c>
      <c r="H85" s="312">
        <v>880</v>
      </c>
      <c r="I85" s="315">
        <v>0</v>
      </c>
      <c r="J85" s="316">
        <v>1700</v>
      </c>
      <c r="K85" s="312">
        <v>730</v>
      </c>
      <c r="L85" s="317">
        <v>0</v>
      </c>
      <c r="M85" s="316">
        <v>2000</v>
      </c>
      <c r="N85" s="312">
        <v>196</v>
      </c>
      <c r="O85" s="317">
        <v>0</v>
      </c>
      <c r="P85" s="316">
        <v>1400</v>
      </c>
      <c r="Q85" s="312">
        <v>679</v>
      </c>
      <c r="R85" s="317">
        <v>0</v>
      </c>
      <c r="S85" s="316">
        <v>300</v>
      </c>
      <c r="T85" s="312">
        <v>70</v>
      </c>
      <c r="U85" s="317">
        <v>0</v>
      </c>
      <c r="V85" s="316">
        <v>0</v>
      </c>
      <c r="W85" s="312">
        <v>890</v>
      </c>
      <c r="X85" s="317">
        <v>0</v>
      </c>
      <c r="Y85" s="316">
        <v>100</v>
      </c>
      <c r="Z85" s="312">
        <v>320</v>
      </c>
      <c r="AA85" s="317">
        <v>0</v>
      </c>
      <c r="AB85" s="316">
        <v>600</v>
      </c>
      <c r="AC85" s="312">
        <v>290</v>
      </c>
      <c r="AD85" s="317">
        <v>0</v>
      </c>
      <c r="AE85" s="316">
        <v>200</v>
      </c>
      <c r="AF85" s="312">
        <v>90</v>
      </c>
      <c r="AG85" s="317">
        <v>0</v>
      </c>
      <c r="AH85" s="231">
        <f>+Janvier!AJ85</f>
        <v>726.18131868131866</v>
      </c>
      <c r="AI85" s="231">
        <f>+Janvier!AK85</f>
        <v>2259.2307692307695</v>
      </c>
      <c r="AJ85" s="231">
        <f>+Janvier!AL85</f>
        <v>1694.4230769230774</v>
      </c>
      <c r="AK85" s="231">
        <f>+Janvier!AM85</f>
        <v>1694.4230769230774</v>
      </c>
      <c r="AL85" s="231">
        <f>+Janvier!AN85</f>
        <v>1026.9230769230771</v>
      </c>
      <c r="AM85" s="231">
        <f>+Janvier!AO85</f>
        <v>635.40865384615381</v>
      </c>
      <c r="AN85" s="231">
        <f>+Janvier!AP85</f>
        <v>1270.8173076923076</v>
      </c>
      <c r="AO85" s="231">
        <f>+Janvier!AQ85</f>
        <v>635.40865384615381</v>
      </c>
      <c r="AP85" s="231">
        <f>+Janvier!AR85</f>
        <v>635.40865384615381</v>
      </c>
      <c r="AQ85" s="231">
        <f>+Janvier!AS85</f>
        <v>1129.6153846153848</v>
      </c>
      <c r="AR85" s="16">
        <f>ROUND(E85/(AH85/5),0)</f>
        <v>2</v>
      </c>
      <c r="AS85" s="16">
        <f t="shared" si="135"/>
        <v>2</v>
      </c>
      <c r="AT85" s="16">
        <f t="shared" si="136"/>
        <v>2</v>
      </c>
      <c r="AU85" s="16">
        <f t="shared" si="137"/>
        <v>1</v>
      </c>
      <c r="AV85" s="16">
        <f t="shared" si="138"/>
        <v>3</v>
      </c>
      <c r="AW85" s="16">
        <f t="shared" si="139"/>
        <v>1</v>
      </c>
      <c r="AX85" s="16">
        <f t="shared" si="140"/>
        <v>4</v>
      </c>
      <c r="AY85" s="16">
        <f t="shared" si="141"/>
        <v>3</v>
      </c>
      <c r="AZ85" s="16">
        <f t="shared" si="142"/>
        <v>2</v>
      </c>
      <c r="BA85" s="17">
        <f t="shared" si="143"/>
        <v>0</v>
      </c>
    </row>
    <row r="86" spans="1:53" x14ac:dyDescent="0.3">
      <c r="B86" s="192"/>
      <c r="C86" s="3"/>
      <c r="D86" s="3"/>
      <c r="E86" s="192"/>
      <c r="F86" s="192"/>
      <c r="G86" s="192"/>
      <c r="H86" s="192"/>
      <c r="I86" s="192"/>
      <c r="J86" s="192"/>
      <c r="K86" s="192"/>
      <c r="L86" s="192"/>
      <c r="M86" s="192"/>
      <c r="N86" s="192"/>
      <c r="O86" s="192"/>
      <c r="P86" s="192"/>
      <c r="Q86" s="192"/>
      <c r="R86" s="192"/>
      <c r="S86" s="192"/>
      <c r="T86" s="192"/>
      <c r="U86" s="192"/>
      <c r="V86" s="192"/>
      <c r="W86" s="192"/>
      <c r="X86" s="192"/>
      <c r="Y86" s="192"/>
      <c r="Z86" s="192"/>
      <c r="AA86" s="192"/>
      <c r="AB86" s="192"/>
      <c r="AC86" s="192"/>
      <c r="AD86" s="192"/>
      <c r="AE86" s="192"/>
      <c r="AF86" s="192"/>
      <c r="AG86" s="192"/>
      <c r="AR86" s="183" t="s">
        <v>2</v>
      </c>
      <c r="AS86" s="183" t="s">
        <v>80</v>
      </c>
      <c r="AT86" s="183" t="s">
        <v>81</v>
      </c>
      <c r="AU86" s="183" t="s">
        <v>5</v>
      </c>
      <c r="AV86" s="183" t="s">
        <v>82</v>
      </c>
      <c r="AW86" s="183" t="s">
        <v>7</v>
      </c>
      <c r="AX86" s="183" t="s">
        <v>8</v>
      </c>
      <c r="AY86" s="183" t="s">
        <v>9</v>
      </c>
      <c r="AZ86" s="183" t="s">
        <v>10</v>
      </c>
      <c r="BA86" s="183" t="s">
        <v>11</v>
      </c>
    </row>
    <row r="87" spans="1:53" x14ac:dyDescent="0.3">
      <c r="B87" s="192"/>
      <c r="C87" s="3"/>
      <c r="D87" s="3"/>
      <c r="E87" s="192"/>
      <c r="F87" s="192"/>
      <c r="G87" s="192"/>
      <c r="H87" s="192"/>
      <c r="I87" s="192"/>
      <c r="J87" s="192"/>
      <c r="K87" s="192"/>
      <c r="L87" s="192"/>
      <c r="M87" s="192"/>
      <c r="N87" s="192"/>
      <c r="O87" s="192"/>
      <c r="P87" s="192"/>
      <c r="Q87" s="192"/>
      <c r="R87" s="192"/>
      <c r="S87" s="192"/>
      <c r="T87" s="192"/>
      <c r="U87" s="192"/>
      <c r="V87" s="192"/>
      <c r="W87" s="192"/>
      <c r="X87" s="192"/>
      <c r="Y87" s="192"/>
      <c r="Z87" s="192"/>
      <c r="AA87" s="192"/>
      <c r="AB87" s="192"/>
      <c r="AC87" s="192"/>
      <c r="AD87" s="192"/>
      <c r="AE87" s="192"/>
      <c r="AF87" s="192"/>
      <c r="AG87" s="192"/>
    </row>
  </sheetData>
  <mergeCells count="16">
    <mergeCell ref="D3:AF3"/>
    <mergeCell ref="AE4:AG4"/>
    <mergeCell ref="A1:AF1"/>
    <mergeCell ref="AH3:AQ3"/>
    <mergeCell ref="AR3:BA3"/>
    <mergeCell ref="A4:A5"/>
    <mergeCell ref="B4:C4"/>
    <mergeCell ref="D4:F4"/>
    <mergeCell ref="G4:I4"/>
    <mergeCell ref="J4:L4"/>
    <mergeCell ref="M4:O4"/>
    <mergeCell ref="P4:R4"/>
    <mergeCell ref="S4:U4"/>
    <mergeCell ref="V4:X4"/>
    <mergeCell ref="Y4:AA4"/>
    <mergeCell ref="AB4:AD4"/>
  </mergeCells>
  <conditionalFormatting sqref="AR6:BA6 AR14:BA14 AR21:BA21 AR30:BA30 AR40:BA40 AR54:BA54 AR68:BA68 AR80:BA80">
    <cfRule type="cellIs" dxfId="103" priority="5" operator="lessThanOrEqual">
      <formula>3</formula>
    </cfRule>
    <cfRule type="cellIs" dxfId="102" priority="6" operator="between">
      <formula>3.01</formula>
      <formula>5</formula>
    </cfRule>
    <cfRule type="cellIs" dxfId="101" priority="7" operator="between">
      <formula>5.01</formula>
      <formula>15</formula>
    </cfRule>
    <cfRule type="cellIs" dxfId="100" priority="8" operator="greaterThan">
      <formula>15</formula>
    </cfRule>
  </conditionalFormatting>
  <conditionalFormatting sqref="AR7:BA13 AR15:BA20 AR22:BA29 AR31:BA39 AR41:BA53 AR55:BA67 AR69:BA79 AR81:BA85">
    <cfRule type="cellIs" dxfId="99" priority="1" operator="lessThanOrEqual">
      <formula>1</formula>
    </cfRule>
    <cfRule type="cellIs" dxfId="98" priority="2" operator="between">
      <formula>1.01</formula>
      <formula>2</formula>
    </cfRule>
    <cfRule type="cellIs" dxfId="97" priority="3" operator="between">
      <formula>2.01</formula>
      <formula>5</formula>
    </cfRule>
    <cfRule type="cellIs" dxfId="96" priority="4" operator="greaterThan">
      <formula>5</formula>
    </cfRule>
  </conditionalFormatting>
  <dataValidations count="1">
    <dataValidation type="decimal" allowBlank="1" showInputMessage="1" showErrorMessage="1" promptTitle="Coverage:" prompt="Indicate the targeted immunization coverage for the current year." sqref="AH5:AQ5" xr:uid="{00000000-0002-0000-0200-000000000000}">
      <formula1>0</formula1>
      <formula2>1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A87"/>
  <sheetViews>
    <sheetView zoomScale="140" zoomScaleNormal="140" workbookViewId="0">
      <pane xSplit="1" ySplit="5" topLeftCell="B11" activePane="bottomRight" state="frozen"/>
      <selection pane="topRight" activeCell="B1" sqref="B1"/>
      <selection pane="bottomLeft" activeCell="A6" sqref="A6"/>
      <selection pane="bottomRight" activeCell="G16" sqref="G16"/>
    </sheetView>
  </sheetViews>
  <sheetFormatPr defaultColWidth="11.5546875" defaultRowHeight="14.4" x14ac:dyDescent="0.3"/>
  <cols>
    <col min="1" max="1" width="19.5546875" style="183" bestFit="1" customWidth="1"/>
    <col min="2" max="2" width="13.5546875" style="183" customWidth="1"/>
    <col min="3" max="3" width="16.5546875" style="183" customWidth="1"/>
    <col min="4" max="4" width="11.109375" style="183" customWidth="1"/>
    <col min="5" max="5" width="12.33203125" style="183" customWidth="1"/>
    <col min="6" max="7" width="12.5546875" style="183" customWidth="1"/>
    <col min="8" max="8" width="14.109375" style="183" customWidth="1"/>
    <col min="9" max="9" width="12.5546875" style="183" customWidth="1"/>
    <col min="10" max="10" width="13.88671875" style="183" customWidth="1"/>
    <col min="11" max="11" width="16" style="183" customWidth="1"/>
    <col min="12" max="12" width="9.88671875" style="183" customWidth="1"/>
    <col min="13" max="13" width="11.6640625" style="183" customWidth="1"/>
    <col min="14" max="14" width="8.44140625" style="183" customWidth="1"/>
    <col min="15" max="15" width="11.88671875" style="183" customWidth="1"/>
    <col min="16" max="16" width="10.33203125" style="183" customWidth="1"/>
    <col min="17" max="17" width="8.44140625" style="183" customWidth="1"/>
    <col min="18" max="18" width="13.44140625" style="183" customWidth="1"/>
    <col min="19" max="19" width="10.44140625" style="183" customWidth="1"/>
    <col min="20" max="20" width="7.44140625" style="183" customWidth="1"/>
    <col min="21" max="21" width="13.44140625" style="183" customWidth="1"/>
    <col min="22" max="22" width="9.5546875" style="183" customWidth="1"/>
    <col min="23" max="23" width="8.44140625" style="183" customWidth="1"/>
    <col min="24" max="24" width="12.6640625" style="183" customWidth="1"/>
    <col min="25" max="25" width="9.5546875" style="183" customWidth="1"/>
    <col min="26" max="26" width="9.44140625" style="183" customWidth="1"/>
    <col min="27" max="27" width="10" style="183" customWidth="1"/>
    <col min="28" max="28" width="9.6640625" style="183" customWidth="1"/>
    <col min="29" max="29" width="10.6640625" style="183" customWidth="1"/>
    <col min="30" max="30" width="12.33203125" style="183" customWidth="1"/>
    <col min="31" max="31" width="10" style="183" customWidth="1"/>
    <col min="32" max="32" width="10.33203125" style="183" customWidth="1"/>
    <col min="33" max="33" width="14" style="183" customWidth="1"/>
    <col min="34" max="43" width="11.6640625" style="183" customWidth="1"/>
    <col min="44" max="53" width="15.109375" style="183" customWidth="1"/>
    <col min="54" max="16384" width="11.5546875" style="183"/>
  </cols>
  <sheetData>
    <row r="1" spans="1:53" ht="18" x14ac:dyDescent="0.35">
      <c r="A1" s="414" t="s">
        <v>0</v>
      </c>
      <c r="B1" s="414"/>
      <c r="C1" s="414"/>
      <c r="D1" s="414"/>
      <c r="E1" s="414"/>
      <c r="F1" s="414"/>
      <c r="G1" s="414"/>
      <c r="H1" s="414"/>
      <c r="I1" s="414"/>
      <c r="J1" s="414"/>
      <c r="K1" s="414"/>
      <c r="L1" s="414"/>
      <c r="M1" s="414"/>
      <c r="N1" s="414"/>
      <c r="O1" s="414"/>
      <c r="P1" s="414"/>
      <c r="Q1" s="414"/>
      <c r="R1" s="414"/>
      <c r="S1" s="414"/>
      <c r="T1" s="414"/>
      <c r="U1" s="414"/>
      <c r="V1" s="414"/>
      <c r="W1" s="414"/>
      <c r="X1" s="414"/>
      <c r="Y1" s="414"/>
      <c r="Z1" s="414"/>
      <c r="AA1" s="414"/>
      <c r="AB1" s="414"/>
      <c r="AC1" s="414"/>
      <c r="AD1" s="414"/>
      <c r="AE1" s="414"/>
      <c r="AF1" s="414"/>
      <c r="AG1" s="195"/>
    </row>
    <row r="2" spans="1:53" ht="18" x14ac:dyDescent="0.35">
      <c r="A2" s="195"/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5"/>
      <c r="Y2" s="195"/>
      <c r="Z2" s="195"/>
      <c r="AA2" s="195"/>
      <c r="AB2" s="195"/>
      <c r="AC2" s="195"/>
      <c r="AD2" s="195"/>
      <c r="AE2" s="195"/>
      <c r="AF2" s="9"/>
      <c r="AG2" s="9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0"/>
    </row>
    <row r="3" spans="1:53" ht="16.2" thickBot="1" x14ac:dyDescent="0.35">
      <c r="D3" s="413" t="s">
        <v>98</v>
      </c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  <c r="R3" s="413"/>
      <c r="S3" s="413"/>
      <c r="T3" s="413"/>
      <c r="U3" s="413"/>
      <c r="V3" s="413"/>
      <c r="W3" s="413"/>
      <c r="X3" s="413"/>
      <c r="Y3" s="413"/>
      <c r="Z3" s="413"/>
      <c r="AA3" s="413"/>
      <c r="AB3" s="413"/>
      <c r="AC3" s="413"/>
      <c r="AD3" s="413"/>
      <c r="AE3" s="413"/>
      <c r="AF3" s="413"/>
      <c r="AG3" s="196"/>
      <c r="AH3" s="449" t="s">
        <v>12</v>
      </c>
      <c r="AI3" s="449"/>
      <c r="AJ3" s="449"/>
      <c r="AK3" s="449"/>
      <c r="AL3" s="449"/>
      <c r="AM3" s="449"/>
      <c r="AN3" s="449"/>
      <c r="AO3" s="449"/>
      <c r="AP3" s="449"/>
      <c r="AQ3" s="449"/>
      <c r="AR3" s="417" t="s">
        <v>13</v>
      </c>
      <c r="AS3" s="417"/>
      <c r="AT3" s="417"/>
      <c r="AU3" s="417"/>
      <c r="AV3" s="417"/>
      <c r="AW3" s="417"/>
      <c r="AX3" s="417"/>
      <c r="AY3" s="417"/>
      <c r="AZ3" s="417"/>
      <c r="BA3" s="417"/>
    </row>
    <row r="4" spans="1:53" ht="16.2" thickBot="1" x14ac:dyDescent="0.35">
      <c r="A4" s="450" t="s">
        <v>1</v>
      </c>
      <c r="B4" s="452" t="s">
        <v>92</v>
      </c>
      <c r="C4" s="453"/>
      <c r="D4" s="420" t="s">
        <v>2</v>
      </c>
      <c r="E4" s="420"/>
      <c r="F4" s="421"/>
      <c r="G4" s="422" t="s">
        <v>3</v>
      </c>
      <c r="H4" s="423"/>
      <c r="I4" s="424"/>
      <c r="J4" s="425" t="s">
        <v>4</v>
      </c>
      <c r="K4" s="426"/>
      <c r="L4" s="427"/>
      <c r="M4" s="446" t="s">
        <v>5</v>
      </c>
      <c r="N4" s="447"/>
      <c r="O4" s="448"/>
      <c r="P4" s="428" t="s">
        <v>6</v>
      </c>
      <c r="Q4" s="429"/>
      <c r="R4" s="430"/>
      <c r="S4" s="431" t="s">
        <v>7</v>
      </c>
      <c r="T4" s="432"/>
      <c r="U4" s="433"/>
      <c r="V4" s="434" t="s">
        <v>8</v>
      </c>
      <c r="W4" s="435"/>
      <c r="X4" s="436"/>
      <c r="Y4" s="437" t="s">
        <v>9</v>
      </c>
      <c r="Z4" s="438"/>
      <c r="AA4" s="439"/>
      <c r="AB4" s="440" t="s">
        <v>10</v>
      </c>
      <c r="AC4" s="441"/>
      <c r="AD4" s="442"/>
      <c r="AE4" s="443" t="s">
        <v>11</v>
      </c>
      <c r="AF4" s="444"/>
      <c r="AG4" s="444"/>
      <c r="AH4" s="206" t="s">
        <v>2</v>
      </c>
      <c r="AI4" s="206" t="s">
        <v>3</v>
      </c>
      <c r="AJ4" s="206" t="s">
        <v>4</v>
      </c>
      <c r="AK4" s="206" t="s">
        <v>5</v>
      </c>
      <c r="AL4" s="206" t="s">
        <v>6</v>
      </c>
      <c r="AM4" s="206" t="s">
        <v>7</v>
      </c>
      <c r="AN4" s="206" t="s">
        <v>8</v>
      </c>
      <c r="AO4" s="206" t="s">
        <v>9</v>
      </c>
      <c r="AP4" s="206" t="s">
        <v>10</v>
      </c>
      <c r="AQ4" s="206" t="s">
        <v>11</v>
      </c>
      <c r="AR4" s="186" t="s">
        <v>2</v>
      </c>
      <c r="AS4" s="186" t="s">
        <v>3</v>
      </c>
      <c r="AT4" s="186" t="s">
        <v>4</v>
      </c>
      <c r="AU4" s="186" t="s">
        <v>5</v>
      </c>
      <c r="AV4" s="186" t="s">
        <v>6</v>
      </c>
      <c r="AW4" s="186" t="s">
        <v>7</v>
      </c>
      <c r="AX4" s="186" t="s">
        <v>8</v>
      </c>
      <c r="AY4" s="186" t="s">
        <v>9</v>
      </c>
      <c r="AZ4" s="186" t="s">
        <v>10</v>
      </c>
      <c r="BA4" s="197" t="s">
        <v>11</v>
      </c>
    </row>
    <row r="5" spans="1:53" ht="15.75" customHeight="1" thickBot="1" x14ac:dyDescent="0.35">
      <c r="A5" s="451"/>
      <c r="B5" s="135" t="s">
        <v>93</v>
      </c>
      <c r="C5" s="136" t="s">
        <v>94</v>
      </c>
      <c r="D5" s="187" t="s">
        <v>95</v>
      </c>
      <c r="E5" s="188" t="s">
        <v>96</v>
      </c>
      <c r="F5" s="189" t="s">
        <v>97</v>
      </c>
      <c r="G5" s="190" t="s">
        <v>95</v>
      </c>
      <c r="H5" s="188" t="s">
        <v>96</v>
      </c>
      <c r="I5" s="191" t="s">
        <v>97</v>
      </c>
      <c r="J5" s="137" t="s">
        <v>95</v>
      </c>
      <c r="K5" s="138" t="s">
        <v>96</v>
      </c>
      <c r="L5" s="139" t="s">
        <v>97</v>
      </c>
      <c r="M5" s="187" t="s">
        <v>95</v>
      </c>
      <c r="N5" s="188" t="s">
        <v>96</v>
      </c>
      <c r="O5" s="189" t="s">
        <v>97</v>
      </c>
      <c r="P5" s="190" t="s">
        <v>95</v>
      </c>
      <c r="Q5" s="188" t="s">
        <v>96</v>
      </c>
      <c r="R5" s="189" t="s">
        <v>97</v>
      </c>
      <c r="S5" s="190" t="s">
        <v>95</v>
      </c>
      <c r="T5" s="188" t="s">
        <v>96</v>
      </c>
      <c r="U5" s="189" t="s">
        <v>97</v>
      </c>
      <c r="V5" s="190" t="s">
        <v>95</v>
      </c>
      <c r="W5" s="188" t="s">
        <v>96</v>
      </c>
      <c r="X5" s="189" t="s">
        <v>97</v>
      </c>
      <c r="Y5" s="190" t="s">
        <v>95</v>
      </c>
      <c r="Z5" s="188" t="s">
        <v>96</v>
      </c>
      <c r="AA5" s="189" t="s">
        <v>97</v>
      </c>
      <c r="AB5" s="190" t="s">
        <v>95</v>
      </c>
      <c r="AC5" s="188" t="s">
        <v>96</v>
      </c>
      <c r="AD5" s="189" t="s">
        <v>97</v>
      </c>
      <c r="AE5" s="190" t="s">
        <v>95</v>
      </c>
      <c r="AF5" s="188" t="s">
        <v>96</v>
      </c>
      <c r="AG5" s="191" t="s">
        <v>97</v>
      </c>
      <c r="AH5" s="229">
        <v>0.9</v>
      </c>
      <c r="AI5" s="229">
        <v>0.9</v>
      </c>
      <c r="AJ5" s="229">
        <v>0.9</v>
      </c>
      <c r="AK5" s="229">
        <v>0.9</v>
      </c>
      <c r="AL5" s="229">
        <v>0.9</v>
      </c>
      <c r="AM5" s="229">
        <v>0.9</v>
      </c>
      <c r="AN5" s="229">
        <v>0.9</v>
      </c>
      <c r="AO5" s="229">
        <v>0.9</v>
      </c>
      <c r="AP5" s="229">
        <v>0.9</v>
      </c>
      <c r="AQ5" s="230">
        <v>0.9</v>
      </c>
      <c r="AR5" s="12"/>
      <c r="AS5" s="12"/>
      <c r="AT5" s="12"/>
      <c r="AU5" s="12"/>
      <c r="AV5" s="12"/>
      <c r="AW5" s="12"/>
      <c r="AX5" s="12"/>
      <c r="AY5" s="12"/>
      <c r="AZ5" s="12"/>
      <c r="BA5" s="13"/>
    </row>
    <row r="6" spans="1:53" x14ac:dyDescent="0.3">
      <c r="A6" s="140" t="s">
        <v>87</v>
      </c>
      <c r="B6" s="141">
        <v>43901</v>
      </c>
      <c r="C6" s="232">
        <v>43951</v>
      </c>
      <c r="D6" s="142">
        <v>12000</v>
      </c>
      <c r="E6" s="240">
        <v>12220</v>
      </c>
      <c r="F6" s="241">
        <v>0</v>
      </c>
      <c r="G6" s="235">
        <v>5000</v>
      </c>
      <c r="H6" s="329">
        <v>25360</v>
      </c>
      <c r="I6" s="142">
        <v>0</v>
      </c>
      <c r="J6" s="142">
        <v>13700</v>
      </c>
      <c r="K6" s="329">
        <v>13000</v>
      </c>
      <c r="L6" s="142">
        <v>0</v>
      </c>
      <c r="M6" s="142">
        <v>8300</v>
      </c>
      <c r="N6" s="142">
        <v>22000</v>
      </c>
      <c r="O6" s="142">
        <v>0</v>
      </c>
      <c r="P6" s="142">
        <v>5200</v>
      </c>
      <c r="Q6" s="142">
        <v>10000</v>
      </c>
      <c r="R6" s="142">
        <v>0</v>
      </c>
      <c r="S6" s="142">
        <v>4900</v>
      </c>
      <c r="T6" s="142">
        <v>7000</v>
      </c>
      <c r="U6" s="142">
        <v>0</v>
      </c>
      <c r="V6" s="142">
        <v>7500</v>
      </c>
      <c r="W6" s="142">
        <v>17000</v>
      </c>
      <c r="X6" s="142">
        <v>0</v>
      </c>
      <c r="Y6" s="142">
        <v>5000</v>
      </c>
      <c r="Z6" s="142">
        <v>9000</v>
      </c>
      <c r="AA6" s="142">
        <v>0</v>
      </c>
      <c r="AB6" s="142">
        <v>4500</v>
      </c>
      <c r="AC6" s="142">
        <v>8800</v>
      </c>
      <c r="AD6" s="142">
        <v>0</v>
      </c>
      <c r="AE6" s="142">
        <v>9800</v>
      </c>
      <c r="AF6" s="142">
        <v>19000</v>
      </c>
      <c r="AG6" s="222">
        <v>0</v>
      </c>
      <c r="AH6" s="231">
        <f>+Janvier!AJ6</f>
        <v>8562.51</v>
      </c>
      <c r="AI6" s="231">
        <f>+Janvier!AK6</f>
        <v>29828.509615384621</v>
      </c>
      <c r="AJ6" s="231">
        <f>+Janvier!AL6</f>
        <v>19865.787403846156</v>
      </c>
      <c r="AK6" s="231">
        <f>+Janvier!AM6</f>
        <v>19865.787403846156</v>
      </c>
      <c r="AL6" s="231">
        <f>+Janvier!AN6</f>
        <v>12527.97403846154</v>
      </c>
      <c r="AM6" s="231">
        <f>+Janvier!AO6</f>
        <v>7457.1274038461552</v>
      </c>
      <c r="AN6" s="231">
        <f>+Janvier!AP6</f>
        <v>14914.25480769231</v>
      </c>
      <c r="AO6" s="231">
        <f>+Janvier!AQ6</f>
        <v>7457.1274038461552</v>
      </c>
      <c r="AP6" s="231">
        <f>+Janvier!AR6</f>
        <v>7457.1274038461552</v>
      </c>
      <c r="AQ6" s="231">
        <f>+Janvier!AS6</f>
        <v>13292.847692307696</v>
      </c>
      <c r="AR6" s="16">
        <f>ROUND(E6/(AH6/15),0)</f>
        <v>21</v>
      </c>
      <c r="AS6" s="16">
        <f>ROUND(H6/(AI6/15),0)</f>
        <v>13</v>
      </c>
      <c r="AT6" s="16">
        <f>ROUND(K6/(AJ6/15),0)</f>
        <v>10</v>
      </c>
      <c r="AU6" s="16">
        <f>ROUND(N6/(AK6/15),0)</f>
        <v>17</v>
      </c>
      <c r="AV6" s="16">
        <f>ROUND(Q6/(AL6/15),0)</f>
        <v>12</v>
      </c>
      <c r="AW6" s="16">
        <f>ROUND(T6/(AM6/15),0)</f>
        <v>14</v>
      </c>
      <c r="AX6" s="16">
        <f>ROUND(W6/(AN6/15),0)</f>
        <v>17</v>
      </c>
      <c r="AY6" s="16">
        <f>ROUND(Z6/(AO6/15),0)</f>
        <v>18</v>
      </c>
      <c r="AZ6" s="16">
        <f>ROUND(AC6/(AP6/15),0)</f>
        <v>18</v>
      </c>
      <c r="BA6" s="17">
        <f t="shared" ref="BA6" si="0">ROUND(AF6/(AQ6/15),0)</f>
        <v>21</v>
      </c>
    </row>
    <row r="7" spans="1:53" x14ac:dyDescent="0.3">
      <c r="A7" s="184" t="s">
        <v>100</v>
      </c>
      <c r="B7" s="94">
        <v>43922</v>
      </c>
      <c r="C7" s="233">
        <v>43951</v>
      </c>
      <c r="D7" s="107">
        <v>240</v>
      </c>
      <c r="E7" s="106">
        <v>120</v>
      </c>
      <c r="F7" s="117">
        <v>0</v>
      </c>
      <c r="G7" s="236">
        <v>360</v>
      </c>
      <c r="H7" s="96">
        <v>280</v>
      </c>
      <c r="I7" s="105">
        <v>0</v>
      </c>
      <c r="J7" s="95">
        <v>390</v>
      </c>
      <c r="K7" s="96">
        <v>190</v>
      </c>
      <c r="L7" s="97">
        <v>0</v>
      </c>
      <c r="M7" s="95">
        <v>360</v>
      </c>
      <c r="N7" s="96">
        <v>196</v>
      </c>
      <c r="O7" s="97">
        <v>0</v>
      </c>
      <c r="P7" s="95">
        <v>260</v>
      </c>
      <c r="Q7" s="96">
        <v>130</v>
      </c>
      <c r="R7" s="97">
        <v>0</v>
      </c>
      <c r="S7" s="95">
        <v>130</v>
      </c>
      <c r="T7" s="96">
        <v>80</v>
      </c>
      <c r="U7" s="97">
        <v>0</v>
      </c>
      <c r="V7" s="95">
        <v>320</v>
      </c>
      <c r="W7" s="96">
        <v>200</v>
      </c>
      <c r="X7" s="97">
        <v>0</v>
      </c>
      <c r="Y7" s="95">
        <v>150</v>
      </c>
      <c r="Z7" s="96">
        <v>80</v>
      </c>
      <c r="AA7" s="97">
        <v>0</v>
      </c>
      <c r="AB7" s="95">
        <v>170</v>
      </c>
      <c r="AC7" s="96">
        <v>20</v>
      </c>
      <c r="AD7" s="97">
        <v>0</v>
      </c>
      <c r="AE7" s="95">
        <v>350</v>
      </c>
      <c r="AF7" s="96">
        <v>240</v>
      </c>
      <c r="AG7" s="105">
        <v>0</v>
      </c>
      <c r="AH7" s="231">
        <f>+Janvier!AJ7</f>
        <v>205.71428571428572</v>
      </c>
      <c r="AI7" s="231">
        <f>+Janvier!AK7</f>
        <v>640.00000000000011</v>
      </c>
      <c r="AJ7" s="231">
        <f>+Janvier!AL7</f>
        <v>480</v>
      </c>
      <c r="AK7" s="231">
        <f>+Janvier!AM7</f>
        <v>480</v>
      </c>
      <c r="AL7" s="231">
        <f>+Janvier!AN7</f>
        <v>290.90909090909099</v>
      </c>
      <c r="AM7" s="231">
        <f>+Janvier!AO7</f>
        <v>180.00000000000003</v>
      </c>
      <c r="AN7" s="231">
        <f>+Janvier!AP7</f>
        <v>360.00000000000006</v>
      </c>
      <c r="AO7" s="231">
        <f>+Janvier!AQ7</f>
        <v>180.00000000000003</v>
      </c>
      <c r="AP7" s="231">
        <f>+Janvier!AR7</f>
        <v>180.00000000000003</v>
      </c>
      <c r="AQ7" s="231">
        <f>+Janvier!AS7</f>
        <v>320.00000000000006</v>
      </c>
      <c r="AR7" s="19">
        <f t="shared" ref="AR7:AR13" si="1">ROUND(E7/(AH7/5),0)</f>
        <v>3</v>
      </c>
      <c r="AS7" s="19">
        <f>ROUND(H7/(AI7/5),0)</f>
        <v>2</v>
      </c>
      <c r="AT7" s="19">
        <f>ROUND(K7/(AJ7/5),0)</f>
        <v>2</v>
      </c>
      <c r="AU7" s="19">
        <f>ROUND(N7/(AK7/5),0)</f>
        <v>2</v>
      </c>
      <c r="AV7" s="19">
        <f>ROUND(Q7/(AL7/5),0)</f>
        <v>2</v>
      </c>
      <c r="AW7" s="19">
        <f>ROUND(T7/(AM7/5),0)</f>
        <v>2</v>
      </c>
      <c r="AX7" s="19">
        <f>ROUND(W7/(AN7/5),0)</f>
        <v>3</v>
      </c>
      <c r="AY7" s="19">
        <f>ROUND(Z7/(AO7/5),0)</f>
        <v>2</v>
      </c>
      <c r="AZ7" s="19">
        <f>ROUND(AC7/(AP7/5),0)</f>
        <v>1</v>
      </c>
      <c r="BA7" s="20">
        <f t="shared" ref="BA7:BA13" si="2">ROUND(AF7/(AQ7/5),0)</f>
        <v>4</v>
      </c>
    </row>
    <row r="8" spans="1:53" x14ac:dyDescent="0.3">
      <c r="A8" s="184" t="s">
        <v>101</v>
      </c>
      <c r="B8" s="94">
        <v>43915</v>
      </c>
      <c r="C8" s="233">
        <v>43951</v>
      </c>
      <c r="D8" s="107">
        <v>1020</v>
      </c>
      <c r="E8" s="96">
        <v>500</v>
      </c>
      <c r="F8" s="97">
        <v>0</v>
      </c>
      <c r="G8" s="237">
        <v>1980</v>
      </c>
      <c r="H8" s="96">
        <v>1240</v>
      </c>
      <c r="I8" s="105">
        <v>0</v>
      </c>
      <c r="J8" s="95">
        <v>1690</v>
      </c>
      <c r="K8" s="96">
        <v>880</v>
      </c>
      <c r="L8" s="97">
        <v>0</v>
      </c>
      <c r="M8" s="95">
        <v>1684</v>
      </c>
      <c r="N8" s="96">
        <v>868</v>
      </c>
      <c r="O8" s="97">
        <v>0</v>
      </c>
      <c r="P8" s="95">
        <v>1080</v>
      </c>
      <c r="Q8" s="96">
        <v>559</v>
      </c>
      <c r="R8" s="97">
        <v>0</v>
      </c>
      <c r="S8" s="95">
        <v>550</v>
      </c>
      <c r="T8" s="96">
        <v>290</v>
      </c>
      <c r="U8" s="97">
        <v>0</v>
      </c>
      <c r="V8" s="95">
        <v>1160</v>
      </c>
      <c r="W8" s="96">
        <v>1090</v>
      </c>
      <c r="X8" s="97">
        <v>0</v>
      </c>
      <c r="Y8" s="95">
        <v>590</v>
      </c>
      <c r="Z8" s="96">
        <v>440</v>
      </c>
      <c r="AA8" s="97">
        <v>0</v>
      </c>
      <c r="AB8" s="95">
        <v>570</v>
      </c>
      <c r="AC8" s="96">
        <v>460</v>
      </c>
      <c r="AD8" s="97">
        <v>0</v>
      </c>
      <c r="AE8" s="95">
        <v>1160</v>
      </c>
      <c r="AF8" s="96">
        <v>1080</v>
      </c>
      <c r="AG8" s="105">
        <v>0</v>
      </c>
      <c r="AH8" s="231">
        <f>+Janvier!AJ8</f>
        <v>676.23626373626382</v>
      </c>
      <c r="AI8" s="231">
        <f>+Janvier!AK8</f>
        <v>2103.8461538461538</v>
      </c>
      <c r="AJ8" s="231">
        <f>+Janvier!AL8</f>
        <v>1577.8846153846155</v>
      </c>
      <c r="AK8" s="231">
        <f>+Janvier!AM8</f>
        <v>1577.8846153846155</v>
      </c>
      <c r="AL8" s="231">
        <f>+Janvier!AN8</f>
        <v>956.29370629370646</v>
      </c>
      <c r="AM8" s="231">
        <f>+Janvier!AO8</f>
        <v>591.70673076923083</v>
      </c>
      <c r="AN8" s="231">
        <f>+Janvier!AP8</f>
        <v>1183.4134615384617</v>
      </c>
      <c r="AO8" s="231">
        <f>+Janvier!AQ8</f>
        <v>591.70673076923083</v>
      </c>
      <c r="AP8" s="231">
        <f>+Janvier!AR8</f>
        <v>591.70673076923083</v>
      </c>
      <c r="AQ8" s="231">
        <f>+Janvier!AS8</f>
        <v>1051.9230769230769</v>
      </c>
      <c r="AR8" s="19">
        <f t="shared" si="1"/>
        <v>4</v>
      </c>
      <c r="AS8" s="19">
        <f t="shared" ref="AS8:AS13" si="3">ROUND(H8/(AI8/5),0)</f>
        <v>3</v>
      </c>
      <c r="AT8" s="19">
        <f t="shared" ref="AT8:AT13" si="4">ROUND(K8/(AJ8/5),0)</f>
        <v>3</v>
      </c>
      <c r="AU8" s="19">
        <f t="shared" ref="AU8:AU13" si="5">ROUND(N8/(AK8/5),0)</f>
        <v>3</v>
      </c>
      <c r="AV8" s="19">
        <f t="shared" ref="AV8:AV13" si="6">ROUND(Q8/(AL8/5),0)</f>
        <v>3</v>
      </c>
      <c r="AW8" s="19">
        <f t="shared" ref="AW8:AW13" si="7">ROUND(T8/(AM8/5),0)</f>
        <v>2</v>
      </c>
      <c r="AX8" s="19">
        <f t="shared" ref="AX8:AX13" si="8">ROUND(W8/(AN8/5),0)</f>
        <v>5</v>
      </c>
      <c r="AY8" s="19">
        <f t="shared" ref="AY8:AY13" si="9">ROUND(Z8/(AO8/5),0)</f>
        <v>4</v>
      </c>
      <c r="AZ8" s="19">
        <f t="shared" ref="AZ8:AZ13" si="10">ROUND(AC8/(AP8/5),0)</f>
        <v>4</v>
      </c>
      <c r="BA8" s="20">
        <f t="shared" si="2"/>
        <v>5</v>
      </c>
    </row>
    <row r="9" spans="1:53" x14ac:dyDescent="0.3">
      <c r="A9" s="184" t="s">
        <v>102</v>
      </c>
      <c r="B9" s="94">
        <v>43929</v>
      </c>
      <c r="C9" s="233">
        <v>43951</v>
      </c>
      <c r="D9" s="107">
        <v>720</v>
      </c>
      <c r="E9" s="96">
        <v>700</v>
      </c>
      <c r="F9" s="97">
        <v>0</v>
      </c>
      <c r="G9" s="237">
        <v>1640</v>
      </c>
      <c r="H9" s="96">
        <v>1060</v>
      </c>
      <c r="I9" s="105">
        <v>0</v>
      </c>
      <c r="J9" s="95">
        <v>1340</v>
      </c>
      <c r="K9" s="96">
        <v>940</v>
      </c>
      <c r="L9" s="97">
        <v>0</v>
      </c>
      <c r="M9" s="95">
        <v>1468</v>
      </c>
      <c r="N9" s="96">
        <v>1124</v>
      </c>
      <c r="O9" s="97">
        <v>0</v>
      </c>
      <c r="P9" s="95">
        <v>890</v>
      </c>
      <c r="Q9" s="96">
        <v>642</v>
      </c>
      <c r="R9" s="97">
        <v>0</v>
      </c>
      <c r="S9" s="95">
        <v>450</v>
      </c>
      <c r="T9" s="96">
        <v>330</v>
      </c>
      <c r="U9" s="97">
        <v>0</v>
      </c>
      <c r="V9" s="95">
        <v>770</v>
      </c>
      <c r="W9" s="96">
        <v>1380</v>
      </c>
      <c r="X9" s="97">
        <v>0</v>
      </c>
      <c r="Y9" s="95">
        <v>540</v>
      </c>
      <c r="Z9" s="96">
        <v>560</v>
      </c>
      <c r="AA9" s="97">
        <v>0</v>
      </c>
      <c r="AB9" s="95">
        <v>570</v>
      </c>
      <c r="AC9" s="96">
        <v>550</v>
      </c>
      <c r="AD9" s="97">
        <v>0</v>
      </c>
      <c r="AE9" s="95">
        <v>760</v>
      </c>
      <c r="AF9" s="96">
        <v>1390</v>
      </c>
      <c r="AG9" s="105">
        <v>0</v>
      </c>
      <c r="AH9" s="231">
        <f>+Janvier!AJ9</f>
        <v>611.82692307692309</v>
      </c>
      <c r="AI9" s="231">
        <f>+Janvier!AK9</f>
        <v>1903.4615384615386</v>
      </c>
      <c r="AJ9" s="231">
        <f>+Janvier!AL9</f>
        <v>1427.5961538461543</v>
      </c>
      <c r="AK9" s="231">
        <f>+Janvier!AM9</f>
        <v>1427.5961538461543</v>
      </c>
      <c r="AL9" s="231">
        <f>+Janvier!AN9</f>
        <v>865.20979020979041</v>
      </c>
      <c r="AM9" s="231">
        <f>+Janvier!AO9</f>
        <v>535.34855769230762</v>
      </c>
      <c r="AN9" s="231">
        <f>+Janvier!AP9</f>
        <v>1070.6971153846152</v>
      </c>
      <c r="AO9" s="231">
        <f>+Janvier!AQ9</f>
        <v>535.34855769230762</v>
      </c>
      <c r="AP9" s="231">
        <f>+Janvier!AR9</f>
        <v>535.34855769230762</v>
      </c>
      <c r="AQ9" s="231">
        <f>+Janvier!AS9</f>
        <v>951.73076923076928</v>
      </c>
      <c r="AR9" s="19">
        <f t="shared" si="1"/>
        <v>6</v>
      </c>
      <c r="AS9" s="19">
        <f t="shared" si="3"/>
        <v>3</v>
      </c>
      <c r="AT9" s="19">
        <f t="shared" si="4"/>
        <v>3</v>
      </c>
      <c r="AU9" s="19">
        <f t="shared" si="5"/>
        <v>4</v>
      </c>
      <c r="AV9" s="19">
        <f t="shared" si="6"/>
        <v>4</v>
      </c>
      <c r="AW9" s="19">
        <f t="shared" si="7"/>
        <v>3</v>
      </c>
      <c r="AX9" s="19">
        <f t="shared" si="8"/>
        <v>6</v>
      </c>
      <c r="AY9" s="19">
        <f t="shared" si="9"/>
        <v>5</v>
      </c>
      <c r="AZ9" s="19">
        <f t="shared" si="10"/>
        <v>5</v>
      </c>
      <c r="BA9" s="20">
        <f t="shared" si="2"/>
        <v>7</v>
      </c>
    </row>
    <row r="10" spans="1:53" x14ac:dyDescent="0.3">
      <c r="A10" s="184" t="s">
        <v>34</v>
      </c>
      <c r="B10" s="94">
        <v>43907</v>
      </c>
      <c r="C10" s="233">
        <v>43951</v>
      </c>
      <c r="D10" s="107">
        <v>160</v>
      </c>
      <c r="E10" s="96">
        <v>20</v>
      </c>
      <c r="F10" s="97">
        <v>0</v>
      </c>
      <c r="G10" s="237">
        <v>660</v>
      </c>
      <c r="H10" s="96">
        <v>160</v>
      </c>
      <c r="I10" s="105">
        <v>0</v>
      </c>
      <c r="J10" s="95">
        <v>480</v>
      </c>
      <c r="K10" s="96">
        <v>190</v>
      </c>
      <c r="L10" s="97">
        <v>0</v>
      </c>
      <c r="M10" s="95">
        <v>436</v>
      </c>
      <c r="N10" s="96">
        <v>80</v>
      </c>
      <c r="O10" s="97">
        <v>0</v>
      </c>
      <c r="P10" s="95">
        <v>320</v>
      </c>
      <c r="Q10" s="96">
        <v>80</v>
      </c>
      <c r="R10" s="97">
        <v>0</v>
      </c>
      <c r="S10" s="95">
        <v>150</v>
      </c>
      <c r="T10" s="96">
        <v>160</v>
      </c>
      <c r="U10" s="97">
        <v>0</v>
      </c>
      <c r="V10" s="95">
        <v>0</v>
      </c>
      <c r="W10" s="96">
        <v>190</v>
      </c>
      <c r="X10" s="97">
        <v>0</v>
      </c>
      <c r="Y10" s="95">
        <v>180</v>
      </c>
      <c r="Z10" s="96">
        <v>70</v>
      </c>
      <c r="AA10" s="97">
        <v>0</v>
      </c>
      <c r="AB10" s="95">
        <v>160</v>
      </c>
      <c r="AC10" s="96">
        <v>30</v>
      </c>
      <c r="AD10" s="97">
        <v>0</v>
      </c>
      <c r="AE10" s="95">
        <v>380</v>
      </c>
      <c r="AF10" s="96">
        <v>250</v>
      </c>
      <c r="AG10" s="105">
        <v>0</v>
      </c>
      <c r="AH10" s="231">
        <f>+Janvier!AJ10</f>
        <v>104.46428571428572</v>
      </c>
      <c r="AI10" s="231">
        <f>+Janvier!AK10</f>
        <v>325</v>
      </c>
      <c r="AJ10" s="231">
        <f>+Janvier!AL10</f>
        <v>243.75</v>
      </c>
      <c r="AK10" s="231">
        <f>+Janvier!AM10</f>
        <v>243.75</v>
      </c>
      <c r="AL10" s="231">
        <f>+Janvier!AN10</f>
        <v>147.72727272727275</v>
      </c>
      <c r="AM10" s="231">
        <f>+Janvier!AO10</f>
        <v>91.40625</v>
      </c>
      <c r="AN10" s="231">
        <f>+Janvier!AP10</f>
        <v>182.8125</v>
      </c>
      <c r="AO10" s="231">
        <f>+Janvier!AQ10</f>
        <v>91.40625</v>
      </c>
      <c r="AP10" s="231">
        <f>+Janvier!AR10</f>
        <v>91.40625</v>
      </c>
      <c r="AQ10" s="231">
        <f>+Janvier!AS10</f>
        <v>162.5</v>
      </c>
      <c r="AR10" s="19">
        <f t="shared" si="1"/>
        <v>1</v>
      </c>
      <c r="AS10" s="19">
        <f t="shared" si="3"/>
        <v>2</v>
      </c>
      <c r="AT10" s="19">
        <f t="shared" si="4"/>
        <v>4</v>
      </c>
      <c r="AU10" s="19">
        <f t="shared" si="5"/>
        <v>2</v>
      </c>
      <c r="AV10" s="19">
        <f t="shared" si="6"/>
        <v>3</v>
      </c>
      <c r="AW10" s="19">
        <f t="shared" si="7"/>
        <v>9</v>
      </c>
      <c r="AX10" s="19">
        <f t="shared" si="8"/>
        <v>5</v>
      </c>
      <c r="AY10" s="19">
        <f t="shared" si="9"/>
        <v>4</v>
      </c>
      <c r="AZ10" s="19">
        <f t="shared" si="10"/>
        <v>2</v>
      </c>
      <c r="BA10" s="20">
        <f t="shared" si="2"/>
        <v>8</v>
      </c>
    </row>
    <row r="11" spans="1:53" x14ac:dyDescent="0.3">
      <c r="A11" s="184" t="s">
        <v>103</v>
      </c>
      <c r="B11" s="94">
        <v>43940</v>
      </c>
      <c r="C11" s="233">
        <v>43951</v>
      </c>
      <c r="D11" s="107">
        <v>180</v>
      </c>
      <c r="E11" s="96">
        <v>220</v>
      </c>
      <c r="F11" s="97">
        <v>0</v>
      </c>
      <c r="G11" s="237">
        <v>180</v>
      </c>
      <c r="H11" s="96">
        <v>660</v>
      </c>
      <c r="I11" s="105">
        <v>0</v>
      </c>
      <c r="J11" s="95">
        <v>190</v>
      </c>
      <c r="K11" s="96">
        <v>490</v>
      </c>
      <c r="L11" s="97">
        <v>0</v>
      </c>
      <c r="M11" s="95">
        <v>180</v>
      </c>
      <c r="N11" s="96">
        <v>504</v>
      </c>
      <c r="O11" s="97">
        <v>0</v>
      </c>
      <c r="P11" s="95">
        <v>180</v>
      </c>
      <c r="Q11" s="96">
        <v>319</v>
      </c>
      <c r="R11" s="97">
        <v>0</v>
      </c>
      <c r="S11" s="95">
        <v>90</v>
      </c>
      <c r="T11" s="96">
        <v>130</v>
      </c>
      <c r="U11" s="97">
        <v>4</v>
      </c>
      <c r="V11" s="95">
        <v>150</v>
      </c>
      <c r="W11" s="96">
        <v>400</v>
      </c>
      <c r="X11" s="97">
        <v>0</v>
      </c>
      <c r="Y11" s="95">
        <v>120</v>
      </c>
      <c r="Z11" s="96">
        <v>200</v>
      </c>
      <c r="AA11" s="97">
        <v>0</v>
      </c>
      <c r="AB11" s="95">
        <v>100</v>
      </c>
      <c r="AC11" s="96">
        <v>200</v>
      </c>
      <c r="AD11" s="97">
        <v>0</v>
      </c>
      <c r="AE11" s="95">
        <v>370</v>
      </c>
      <c r="AF11" s="96">
        <v>440</v>
      </c>
      <c r="AG11" s="105">
        <v>0</v>
      </c>
      <c r="AH11" s="231">
        <f>+Janvier!AJ11</f>
        <v>190.75549450549454</v>
      </c>
      <c r="AI11" s="231">
        <f>+Janvier!AK11</f>
        <v>593.46153846153857</v>
      </c>
      <c r="AJ11" s="231">
        <f>+Janvier!AL11</f>
        <v>445.09615384615392</v>
      </c>
      <c r="AK11" s="231">
        <f>+Janvier!AM11</f>
        <v>445.09615384615392</v>
      </c>
      <c r="AL11" s="231">
        <f>+Janvier!AN11</f>
        <v>269.7552447552448</v>
      </c>
      <c r="AM11" s="231">
        <f>+Janvier!AO11</f>
        <v>166.91105769230771</v>
      </c>
      <c r="AN11" s="231">
        <f>+Janvier!AP11</f>
        <v>333.82211538461542</v>
      </c>
      <c r="AO11" s="231">
        <f>+Janvier!AQ11</f>
        <v>166.91105769230771</v>
      </c>
      <c r="AP11" s="231">
        <f>+Janvier!AR11</f>
        <v>166.91105769230771</v>
      </c>
      <c r="AQ11" s="231">
        <f>+Janvier!AS11</f>
        <v>296.73076923076928</v>
      </c>
      <c r="AR11" s="19">
        <f t="shared" si="1"/>
        <v>6</v>
      </c>
      <c r="AS11" s="19">
        <f t="shared" si="3"/>
        <v>6</v>
      </c>
      <c r="AT11" s="19">
        <f t="shared" si="4"/>
        <v>6</v>
      </c>
      <c r="AU11" s="19">
        <f t="shared" si="5"/>
        <v>6</v>
      </c>
      <c r="AV11" s="19">
        <f t="shared" si="6"/>
        <v>6</v>
      </c>
      <c r="AW11" s="19">
        <f t="shared" si="7"/>
        <v>4</v>
      </c>
      <c r="AX11" s="19">
        <f t="shared" si="8"/>
        <v>6</v>
      </c>
      <c r="AY11" s="19">
        <f t="shared" si="9"/>
        <v>6</v>
      </c>
      <c r="AZ11" s="19">
        <f t="shared" si="10"/>
        <v>6</v>
      </c>
      <c r="BA11" s="20">
        <f t="shared" si="2"/>
        <v>7</v>
      </c>
    </row>
    <row r="12" spans="1:53" x14ac:dyDescent="0.3">
      <c r="A12" s="184" t="s">
        <v>104</v>
      </c>
      <c r="B12" s="94">
        <v>43915</v>
      </c>
      <c r="C12" s="233">
        <v>43951</v>
      </c>
      <c r="D12" s="107">
        <v>500</v>
      </c>
      <c r="E12" s="106">
        <v>480</v>
      </c>
      <c r="F12" s="117">
        <v>0</v>
      </c>
      <c r="G12" s="236">
        <v>680</v>
      </c>
      <c r="H12" s="96">
        <v>1120</v>
      </c>
      <c r="I12" s="105">
        <v>0</v>
      </c>
      <c r="J12" s="95">
        <v>620</v>
      </c>
      <c r="K12" s="96">
        <v>840</v>
      </c>
      <c r="L12" s="97">
        <v>0</v>
      </c>
      <c r="M12" s="95">
        <v>592</v>
      </c>
      <c r="N12" s="96">
        <v>840</v>
      </c>
      <c r="O12" s="97">
        <v>0</v>
      </c>
      <c r="P12" s="95">
        <v>340</v>
      </c>
      <c r="Q12" s="96">
        <v>537</v>
      </c>
      <c r="R12" s="97">
        <v>0</v>
      </c>
      <c r="S12" s="95">
        <v>200</v>
      </c>
      <c r="T12" s="96">
        <v>280</v>
      </c>
      <c r="U12" s="97">
        <v>0</v>
      </c>
      <c r="V12" s="95">
        <v>580</v>
      </c>
      <c r="W12" s="96">
        <v>670</v>
      </c>
      <c r="X12" s="97">
        <v>0</v>
      </c>
      <c r="Y12" s="95">
        <v>320</v>
      </c>
      <c r="Z12" s="96">
        <v>230</v>
      </c>
      <c r="AA12" s="97">
        <v>0</v>
      </c>
      <c r="AB12" s="95">
        <v>330</v>
      </c>
      <c r="AC12" s="96">
        <v>330</v>
      </c>
      <c r="AD12" s="97">
        <v>0</v>
      </c>
      <c r="AE12" s="95">
        <v>520</v>
      </c>
      <c r="AF12" s="96">
        <v>700</v>
      </c>
      <c r="AG12" s="105">
        <v>0</v>
      </c>
      <c r="AH12" s="231">
        <f>+Janvier!AJ12</f>
        <v>302.3901098901099</v>
      </c>
      <c r="AI12" s="231">
        <f>+Janvier!AK12</f>
        <v>940.76923076923083</v>
      </c>
      <c r="AJ12" s="231">
        <f>+Janvier!AL12</f>
        <v>705.57692307692321</v>
      </c>
      <c r="AK12" s="231">
        <f>+Janvier!AM12</f>
        <v>705.57692307692321</v>
      </c>
      <c r="AL12" s="231">
        <f>+Janvier!AN12</f>
        <v>427.62237762237766</v>
      </c>
      <c r="AM12" s="231">
        <f>+Janvier!AO12</f>
        <v>264.59134615384619</v>
      </c>
      <c r="AN12" s="231">
        <f>+Janvier!AP12</f>
        <v>529.18269230769238</v>
      </c>
      <c r="AO12" s="231">
        <f>+Janvier!AQ12</f>
        <v>264.59134615384619</v>
      </c>
      <c r="AP12" s="231">
        <f>+Janvier!AR12</f>
        <v>264.59134615384619</v>
      </c>
      <c r="AQ12" s="231">
        <f>+Janvier!AS12</f>
        <v>470.38461538461542</v>
      </c>
      <c r="AR12" s="19">
        <f t="shared" si="1"/>
        <v>8</v>
      </c>
      <c r="AS12" s="19">
        <f t="shared" si="3"/>
        <v>6</v>
      </c>
      <c r="AT12" s="19">
        <f t="shared" si="4"/>
        <v>6</v>
      </c>
      <c r="AU12" s="19">
        <f t="shared" si="5"/>
        <v>6</v>
      </c>
      <c r="AV12" s="19">
        <f t="shared" si="6"/>
        <v>6</v>
      </c>
      <c r="AW12" s="19">
        <f t="shared" si="7"/>
        <v>5</v>
      </c>
      <c r="AX12" s="19">
        <f t="shared" si="8"/>
        <v>6</v>
      </c>
      <c r="AY12" s="19">
        <f t="shared" si="9"/>
        <v>4</v>
      </c>
      <c r="AZ12" s="19">
        <f t="shared" si="10"/>
        <v>6</v>
      </c>
      <c r="BA12" s="20">
        <f t="shared" si="2"/>
        <v>7</v>
      </c>
    </row>
    <row r="13" spans="1:53" ht="15" thickBot="1" x14ac:dyDescent="0.35">
      <c r="A13" s="121" t="s">
        <v>105</v>
      </c>
      <c r="B13" s="143">
        <v>43929</v>
      </c>
      <c r="C13" s="234">
        <v>43951</v>
      </c>
      <c r="D13" s="249">
        <v>1080</v>
      </c>
      <c r="E13" s="250">
        <v>720</v>
      </c>
      <c r="F13" s="251">
        <v>0</v>
      </c>
      <c r="G13" s="351">
        <v>2240</v>
      </c>
      <c r="H13" s="260">
        <v>1460</v>
      </c>
      <c r="I13" s="352">
        <v>0</v>
      </c>
      <c r="J13" s="306">
        <v>1690</v>
      </c>
      <c r="K13" s="260">
        <v>1030</v>
      </c>
      <c r="L13" s="261">
        <v>0</v>
      </c>
      <c r="M13" s="306">
        <v>1520</v>
      </c>
      <c r="N13" s="260">
        <v>1024</v>
      </c>
      <c r="O13" s="261">
        <v>0</v>
      </c>
      <c r="P13" s="306">
        <v>1000</v>
      </c>
      <c r="Q13" s="260">
        <v>736</v>
      </c>
      <c r="R13" s="261">
        <v>0</v>
      </c>
      <c r="S13" s="306">
        <v>650</v>
      </c>
      <c r="T13" s="260">
        <v>330</v>
      </c>
      <c r="U13" s="261">
        <v>0</v>
      </c>
      <c r="V13" s="306">
        <v>1430</v>
      </c>
      <c r="W13" s="260">
        <v>1470</v>
      </c>
      <c r="X13" s="261">
        <v>0</v>
      </c>
      <c r="Y13" s="306">
        <v>730</v>
      </c>
      <c r="Z13" s="260">
        <v>270</v>
      </c>
      <c r="AA13" s="261">
        <v>0</v>
      </c>
      <c r="AB13" s="306">
        <v>810</v>
      </c>
      <c r="AC13" s="260">
        <v>360</v>
      </c>
      <c r="AD13" s="261">
        <v>0</v>
      </c>
      <c r="AE13" s="306">
        <v>1160</v>
      </c>
      <c r="AF13" s="260">
        <v>1520</v>
      </c>
      <c r="AG13" s="352">
        <v>0</v>
      </c>
      <c r="AH13" s="231">
        <f>+Janvier!AJ13</f>
        <v>749.42307692307691</v>
      </c>
      <c r="AI13" s="231">
        <f>+Janvier!AK13</f>
        <v>2331.5384615384619</v>
      </c>
      <c r="AJ13" s="231">
        <f>+Janvier!AL13</f>
        <v>1748.6538461538464</v>
      </c>
      <c r="AK13" s="231">
        <f>+Janvier!AM13</f>
        <v>1748.6538461538464</v>
      </c>
      <c r="AL13" s="231">
        <f>+Janvier!AN13</f>
        <v>1059.7902097902099</v>
      </c>
      <c r="AM13" s="231">
        <f>+Janvier!AO13</f>
        <v>655.74519230769226</v>
      </c>
      <c r="AN13" s="231">
        <f>+Janvier!AP13</f>
        <v>1311.4903846153845</v>
      </c>
      <c r="AO13" s="231">
        <f>+Janvier!AQ13</f>
        <v>655.74519230769226</v>
      </c>
      <c r="AP13" s="231">
        <f>+Janvier!AR13</f>
        <v>655.74519230769226</v>
      </c>
      <c r="AQ13" s="231">
        <f>+Janvier!AS13</f>
        <v>1165.7692307692309</v>
      </c>
      <c r="AR13" s="29">
        <f t="shared" si="1"/>
        <v>5</v>
      </c>
      <c r="AS13" s="29">
        <f t="shared" si="3"/>
        <v>3</v>
      </c>
      <c r="AT13" s="29">
        <f t="shared" si="4"/>
        <v>3</v>
      </c>
      <c r="AU13" s="29">
        <f t="shared" si="5"/>
        <v>3</v>
      </c>
      <c r="AV13" s="29">
        <f t="shared" si="6"/>
        <v>3</v>
      </c>
      <c r="AW13" s="29">
        <f t="shared" si="7"/>
        <v>3</v>
      </c>
      <c r="AX13" s="29">
        <f t="shared" si="8"/>
        <v>6</v>
      </c>
      <c r="AY13" s="29">
        <f t="shared" si="9"/>
        <v>2</v>
      </c>
      <c r="AZ13" s="29">
        <f t="shared" si="10"/>
        <v>3</v>
      </c>
      <c r="BA13" s="30">
        <f t="shared" si="2"/>
        <v>7</v>
      </c>
    </row>
    <row r="14" spans="1:53" ht="15" thickBot="1" x14ac:dyDescent="0.35">
      <c r="A14" s="140" t="s">
        <v>85</v>
      </c>
      <c r="B14" s="94">
        <v>43922</v>
      </c>
      <c r="C14" s="233">
        <v>43958</v>
      </c>
      <c r="D14" s="129">
        <v>0</v>
      </c>
      <c r="E14" s="129">
        <v>0</v>
      </c>
      <c r="F14" s="171">
        <v>0</v>
      </c>
      <c r="G14" s="171">
        <v>0</v>
      </c>
      <c r="H14" s="171">
        <v>9360</v>
      </c>
      <c r="I14" s="171">
        <v>0</v>
      </c>
      <c r="J14" s="129">
        <v>0</v>
      </c>
      <c r="K14" s="129">
        <v>1070</v>
      </c>
      <c r="L14" s="129">
        <v>0</v>
      </c>
      <c r="M14" s="129">
        <v>0</v>
      </c>
      <c r="N14" s="129">
        <v>6476</v>
      </c>
      <c r="O14" s="129">
        <v>0</v>
      </c>
      <c r="P14" s="129">
        <v>0</v>
      </c>
      <c r="Q14" s="129">
        <v>1873</v>
      </c>
      <c r="R14" s="129">
        <v>0</v>
      </c>
      <c r="S14" s="129">
        <v>0</v>
      </c>
      <c r="T14" s="129">
        <v>590</v>
      </c>
      <c r="U14" s="129">
        <v>0</v>
      </c>
      <c r="V14" s="129">
        <v>0</v>
      </c>
      <c r="W14" s="129">
        <v>4430</v>
      </c>
      <c r="X14" s="129">
        <v>0</v>
      </c>
      <c r="Y14" s="129">
        <v>0</v>
      </c>
      <c r="Z14" s="129">
        <v>0</v>
      </c>
      <c r="AA14" s="129"/>
      <c r="AB14" s="129">
        <v>0</v>
      </c>
      <c r="AC14" s="129">
        <v>0</v>
      </c>
      <c r="AD14" s="129"/>
      <c r="AE14" s="129">
        <v>0</v>
      </c>
      <c r="AF14" s="129">
        <v>6540</v>
      </c>
      <c r="AG14" s="129">
        <v>0</v>
      </c>
      <c r="AH14" s="231">
        <f>+Janvier!AJ14</f>
        <v>10845.32625</v>
      </c>
      <c r="AI14" s="231">
        <f>+Janvier!AK14</f>
        <v>37883.076923076922</v>
      </c>
      <c r="AJ14" s="231">
        <f>+Janvier!AL14</f>
        <v>25230.129230769231</v>
      </c>
      <c r="AK14" s="231">
        <f>+Janvier!AM14</f>
        <v>25230.129230769231</v>
      </c>
      <c r="AL14" s="231">
        <f>+Janvier!AN14</f>
        <v>15910.892307692309</v>
      </c>
      <c r="AM14" s="231">
        <f>+Janvier!AO14</f>
        <v>9470.7692307692305</v>
      </c>
      <c r="AN14" s="231">
        <f>+Janvier!AP14</f>
        <v>18941.538461538461</v>
      </c>
      <c r="AO14" s="231">
        <f>+Janvier!AQ14</f>
        <v>9470.7692307692305</v>
      </c>
      <c r="AP14" s="231">
        <f>+Janvier!AR14</f>
        <v>9470.7692307692305</v>
      </c>
      <c r="AQ14" s="231">
        <f>+Janvier!AS14</f>
        <v>16836.800192307695</v>
      </c>
      <c r="AR14" s="16">
        <f>ROUND(E14/(AH14/15),0)</f>
        <v>0</v>
      </c>
      <c r="AS14" s="16">
        <f t="shared" ref="AS14" si="11">ROUND(H14/(AI14/15),0)</f>
        <v>4</v>
      </c>
      <c r="AT14" s="16">
        <f t="shared" ref="AT14" si="12">ROUND(K14/(AJ14/15),0)</f>
        <v>1</v>
      </c>
      <c r="AU14" s="16">
        <f t="shared" ref="AU14" si="13">ROUND(N14/(AK14/15),0)</f>
        <v>4</v>
      </c>
      <c r="AV14" s="16">
        <f t="shared" ref="AV14" si="14">ROUND(Q14/(AL14/15),0)</f>
        <v>2</v>
      </c>
      <c r="AW14" s="16">
        <f t="shared" ref="AW14" si="15">ROUND(T14/(AM14/15),0)</f>
        <v>1</v>
      </c>
      <c r="AX14" s="16">
        <f t="shared" ref="AX14" si="16">ROUND(W14/(AN14/15),0)</f>
        <v>4</v>
      </c>
      <c r="AY14" s="16">
        <f t="shared" ref="AY14" si="17">ROUND(Z14/(AO14/15),0)</f>
        <v>0</v>
      </c>
      <c r="AZ14" s="16">
        <f t="shared" ref="AZ14" si="18">ROUND(AC14/(AP14/15),0)</f>
        <v>0</v>
      </c>
      <c r="BA14" s="17">
        <f t="shared" ref="BA14" si="19">ROUND(AF14/(AQ14/15),0)</f>
        <v>6</v>
      </c>
    </row>
    <row r="15" spans="1:53" ht="15" thickBot="1" x14ac:dyDescent="0.35">
      <c r="A15" s="184" t="s">
        <v>57</v>
      </c>
      <c r="B15" s="160">
        <v>43922</v>
      </c>
      <c r="C15" s="259">
        <v>43955</v>
      </c>
      <c r="D15" s="129">
        <v>0</v>
      </c>
      <c r="E15" s="129">
        <v>80</v>
      </c>
      <c r="F15" s="171">
        <v>0</v>
      </c>
      <c r="G15" s="171">
        <v>1220</v>
      </c>
      <c r="H15" s="171">
        <v>420</v>
      </c>
      <c r="I15" s="171">
        <v>0</v>
      </c>
      <c r="J15" s="129">
        <v>970</v>
      </c>
      <c r="K15" s="129">
        <v>280</v>
      </c>
      <c r="L15" s="129">
        <v>0</v>
      </c>
      <c r="M15" s="129">
        <v>1000</v>
      </c>
      <c r="N15" s="129">
        <v>360</v>
      </c>
      <c r="O15" s="129">
        <v>0</v>
      </c>
      <c r="P15" s="129">
        <v>369</v>
      </c>
      <c r="Q15" s="129">
        <v>80</v>
      </c>
      <c r="R15" s="129">
        <v>0</v>
      </c>
      <c r="S15" s="129">
        <v>400</v>
      </c>
      <c r="T15" s="129">
        <v>85</v>
      </c>
      <c r="U15" s="129">
        <v>0</v>
      </c>
      <c r="V15" s="129">
        <v>500</v>
      </c>
      <c r="W15" s="129">
        <v>300</v>
      </c>
      <c r="X15" s="129">
        <v>0</v>
      </c>
      <c r="Y15" s="129">
        <v>500</v>
      </c>
      <c r="Z15" s="129">
        <v>200</v>
      </c>
      <c r="AA15" s="129">
        <v>0</v>
      </c>
      <c r="AB15" s="129">
        <v>0</v>
      </c>
      <c r="AC15" s="129"/>
      <c r="AD15" s="129">
        <v>0</v>
      </c>
      <c r="AE15" s="129">
        <v>200</v>
      </c>
      <c r="AF15" s="129">
        <v>270</v>
      </c>
      <c r="AG15" s="129">
        <v>0</v>
      </c>
      <c r="AH15" s="231">
        <f>+Janvier!AJ15</f>
        <v>567.93956043956052</v>
      </c>
      <c r="AI15" s="231">
        <f>+Janvier!AK15</f>
        <v>1766.9230769230774</v>
      </c>
      <c r="AJ15" s="231">
        <f>+Janvier!AL15</f>
        <v>1325.1923076923076</v>
      </c>
      <c r="AK15" s="231">
        <f>+Janvier!AM15</f>
        <v>1325.1923076923076</v>
      </c>
      <c r="AL15" s="231">
        <f>+Janvier!AN15</f>
        <v>803.14685314685323</v>
      </c>
      <c r="AM15" s="231">
        <f>+Janvier!AO15</f>
        <v>496.94711538461542</v>
      </c>
      <c r="AN15" s="231">
        <f>+Janvier!AP15</f>
        <v>993.89423076923083</v>
      </c>
      <c r="AO15" s="231">
        <f>+Janvier!AQ15</f>
        <v>496.94711538461542</v>
      </c>
      <c r="AP15" s="231">
        <f>+Janvier!AR15</f>
        <v>496.94711538461542</v>
      </c>
      <c r="AQ15" s="231">
        <f>+Janvier!AS15</f>
        <v>883.46153846153868</v>
      </c>
      <c r="AR15" s="16">
        <f t="shared" ref="AR15:AR20" si="20">ROUND(E15/(AH15/5),0)</f>
        <v>1</v>
      </c>
      <c r="AS15" s="16">
        <f t="shared" ref="AS15:AS20" si="21">ROUND(H15/(AI15/5),0)</f>
        <v>1</v>
      </c>
      <c r="AT15" s="16">
        <f t="shared" ref="AT15:AT20" si="22">ROUND(K15/(AJ15/5),0)</f>
        <v>1</v>
      </c>
      <c r="AU15" s="16">
        <f t="shared" ref="AU15:AU20" si="23">ROUND(N15/(AK15/5),0)</f>
        <v>1</v>
      </c>
      <c r="AV15" s="16">
        <f t="shared" ref="AV15:AV20" si="24">ROUND(Q15/(AL15/5),0)</f>
        <v>0</v>
      </c>
      <c r="AW15" s="16">
        <f t="shared" ref="AW15:AW20" si="25">ROUND(T15/(AM15/5),0)</f>
        <v>1</v>
      </c>
      <c r="AX15" s="16">
        <f t="shared" ref="AX15:AX20" si="26">ROUND(W15/(AN15/5),0)</f>
        <v>2</v>
      </c>
      <c r="AY15" s="16">
        <f t="shared" ref="AY15:AY20" si="27">ROUND(Z15/(AO15/5),0)</f>
        <v>2</v>
      </c>
      <c r="AZ15" s="16">
        <f t="shared" ref="AZ15:AZ20" si="28">ROUND(AC15/(AP15/5),0)</f>
        <v>0</v>
      </c>
      <c r="BA15" s="17">
        <f t="shared" ref="BA15:BA20" si="29">ROUND(AF15/(AQ15/5),0)</f>
        <v>2</v>
      </c>
    </row>
    <row r="16" spans="1:53" ht="15" thickBot="1" x14ac:dyDescent="0.35">
      <c r="A16" s="184" t="s">
        <v>58</v>
      </c>
      <c r="B16" s="160">
        <v>43922</v>
      </c>
      <c r="C16" s="259">
        <v>43955</v>
      </c>
      <c r="D16" s="129">
        <v>1160</v>
      </c>
      <c r="E16" s="129">
        <v>20</v>
      </c>
      <c r="F16" s="171">
        <v>0</v>
      </c>
      <c r="G16" s="171">
        <v>1740</v>
      </c>
      <c r="H16" s="171">
        <v>180</v>
      </c>
      <c r="I16" s="171">
        <v>0</v>
      </c>
      <c r="J16" s="129">
        <v>2140</v>
      </c>
      <c r="K16" s="129">
        <v>360</v>
      </c>
      <c r="L16" s="356">
        <v>0</v>
      </c>
      <c r="M16" s="129">
        <v>1980</v>
      </c>
      <c r="N16" s="129">
        <v>340</v>
      </c>
      <c r="O16" s="129"/>
      <c r="P16" s="129">
        <v>782</v>
      </c>
      <c r="Q16" s="129">
        <v>40</v>
      </c>
      <c r="R16" s="129">
        <v>0</v>
      </c>
      <c r="S16" s="129">
        <v>510</v>
      </c>
      <c r="T16" s="129">
        <v>140</v>
      </c>
      <c r="U16" s="129">
        <v>0</v>
      </c>
      <c r="V16" s="129">
        <v>100</v>
      </c>
      <c r="W16" s="129">
        <v>550</v>
      </c>
      <c r="X16" s="129">
        <v>0</v>
      </c>
      <c r="Y16" s="129">
        <v>390</v>
      </c>
      <c r="Z16" s="129">
        <v>120</v>
      </c>
      <c r="AA16" s="129">
        <v>0</v>
      </c>
      <c r="AB16" s="129">
        <v>570</v>
      </c>
      <c r="AC16" s="129">
        <v>140</v>
      </c>
      <c r="AD16" s="129">
        <v>0</v>
      </c>
      <c r="AE16" s="129">
        <v>1060</v>
      </c>
      <c r="AF16" s="129">
        <v>430</v>
      </c>
      <c r="AG16" s="129">
        <v>0</v>
      </c>
      <c r="AH16" s="231">
        <f>+Janvier!AJ16</f>
        <v>952.54120879120887</v>
      </c>
      <c r="AI16" s="231">
        <f>+Janvier!AK16</f>
        <v>2963.4615384615386</v>
      </c>
      <c r="AJ16" s="231">
        <f>+Janvier!AL16</f>
        <v>2222.5961538461538</v>
      </c>
      <c r="AK16" s="231">
        <f>+Janvier!AM16</f>
        <v>2222.5961538461538</v>
      </c>
      <c r="AL16" s="231">
        <f>+Janvier!AN16</f>
        <v>1347.0279720279721</v>
      </c>
      <c r="AM16" s="231">
        <f>+Janvier!AO16</f>
        <v>833.47355769230774</v>
      </c>
      <c r="AN16" s="231">
        <f>+Janvier!AP16</f>
        <v>1666.9471153846155</v>
      </c>
      <c r="AO16" s="231">
        <f>+Janvier!AQ16</f>
        <v>833.47355769230774</v>
      </c>
      <c r="AP16" s="231">
        <f>+Janvier!AR16</f>
        <v>833.47355769230774</v>
      </c>
      <c r="AQ16" s="231">
        <f>+Janvier!AS16</f>
        <v>1481.7307692307693</v>
      </c>
      <c r="AR16" s="16">
        <f t="shared" si="20"/>
        <v>0</v>
      </c>
      <c r="AS16" s="16">
        <f t="shared" si="21"/>
        <v>0</v>
      </c>
      <c r="AT16" s="16">
        <f t="shared" si="22"/>
        <v>1</v>
      </c>
      <c r="AU16" s="16">
        <f t="shared" si="23"/>
        <v>1</v>
      </c>
      <c r="AV16" s="16">
        <f t="shared" si="24"/>
        <v>0</v>
      </c>
      <c r="AW16" s="16">
        <f t="shared" si="25"/>
        <v>1</v>
      </c>
      <c r="AX16" s="16">
        <f t="shared" si="26"/>
        <v>2</v>
      </c>
      <c r="AY16" s="16">
        <f t="shared" si="27"/>
        <v>1</v>
      </c>
      <c r="AZ16" s="16">
        <f t="shared" si="28"/>
        <v>1</v>
      </c>
      <c r="BA16" s="17">
        <f t="shared" si="29"/>
        <v>1</v>
      </c>
    </row>
    <row r="17" spans="1:53" ht="15" thickBot="1" x14ac:dyDescent="0.35">
      <c r="A17" s="184" t="s">
        <v>59</v>
      </c>
      <c r="B17" s="160">
        <v>43922</v>
      </c>
      <c r="C17" s="259">
        <v>43955</v>
      </c>
      <c r="D17" s="129">
        <v>760</v>
      </c>
      <c r="E17" s="129">
        <v>100</v>
      </c>
      <c r="F17" s="171">
        <v>0</v>
      </c>
      <c r="G17" s="171">
        <v>1820</v>
      </c>
      <c r="H17" s="171">
        <v>480</v>
      </c>
      <c r="I17" s="171">
        <v>0</v>
      </c>
      <c r="J17" s="129">
        <v>1470</v>
      </c>
      <c r="K17" s="129">
        <v>210</v>
      </c>
      <c r="L17" s="129">
        <v>0</v>
      </c>
      <c r="M17" s="129">
        <v>1280</v>
      </c>
      <c r="N17" s="129">
        <v>200</v>
      </c>
      <c r="O17" s="129">
        <v>0</v>
      </c>
      <c r="P17" s="129">
        <v>860</v>
      </c>
      <c r="Q17" s="129">
        <v>180</v>
      </c>
      <c r="R17" s="129">
        <v>0</v>
      </c>
      <c r="S17" s="129">
        <v>420</v>
      </c>
      <c r="T17" s="129">
        <v>60</v>
      </c>
      <c r="U17" s="129">
        <v>0</v>
      </c>
      <c r="V17" s="129">
        <v>740</v>
      </c>
      <c r="W17" s="129">
        <v>330</v>
      </c>
      <c r="X17" s="129">
        <v>0</v>
      </c>
      <c r="Y17" s="129">
        <v>430</v>
      </c>
      <c r="Z17" s="129">
        <v>190</v>
      </c>
      <c r="AA17" s="129">
        <v>0</v>
      </c>
      <c r="AB17" s="129">
        <v>540</v>
      </c>
      <c r="AC17" s="129">
        <v>20</v>
      </c>
      <c r="AD17" s="129">
        <v>0</v>
      </c>
      <c r="AE17" s="129">
        <v>1010</v>
      </c>
      <c r="AF17" s="129">
        <v>390</v>
      </c>
      <c r="AG17" s="129">
        <v>0</v>
      </c>
      <c r="AH17" s="231">
        <f>+Janvier!AJ17</f>
        <v>506.86813186813191</v>
      </c>
      <c r="AI17" s="231">
        <f>+Janvier!AK17</f>
        <v>1576.9230769230767</v>
      </c>
      <c r="AJ17" s="231">
        <f>+Janvier!AL17</f>
        <v>1182.6923076923076</v>
      </c>
      <c r="AK17" s="231">
        <f>+Janvier!AM17</f>
        <v>1182.6923076923076</v>
      </c>
      <c r="AL17" s="231">
        <f>+Janvier!AN17</f>
        <v>716.78321678321686</v>
      </c>
      <c r="AM17" s="231">
        <f>+Janvier!AO17</f>
        <v>443.50961538461542</v>
      </c>
      <c r="AN17" s="231">
        <f>+Janvier!AP17</f>
        <v>887.01923076923083</v>
      </c>
      <c r="AO17" s="231">
        <f>+Janvier!AQ17</f>
        <v>443.50961538461542</v>
      </c>
      <c r="AP17" s="231">
        <f>+Janvier!AR17</f>
        <v>443.50961538461542</v>
      </c>
      <c r="AQ17" s="231">
        <f>+Janvier!AS17</f>
        <v>788.46153846153834</v>
      </c>
      <c r="AR17" s="16">
        <f t="shared" si="20"/>
        <v>1</v>
      </c>
      <c r="AS17" s="16">
        <f t="shared" si="21"/>
        <v>2</v>
      </c>
      <c r="AT17" s="16">
        <f t="shared" si="22"/>
        <v>1</v>
      </c>
      <c r="AU17" s="16">
        <f t="shared" si="23"/>
        <v>1</v>
      </c>
      <c r="AV17" s="16">
        <f t="shared" si="24"/>
        <v>1</v>
      </c>
      <c r="AW17" s="16">
        <f t="shared" si="25"/>
        <v>1</v>
      </c>
      <c r="AX17" s="16">
        <f t="shared" si="26"/>
        <v>2</v>
      </c>
      <c r="AY17" s="16">
        <f t="shared" si="27"/>
        <v>2</v>
      </c>
      <c r="AZ17" s="16">
        <f t="shared" si="28"/>
        <v>0</v>
      </c>
      <c r="BA17" s="17">
        <f t="shared" si="29"/>
        <v>2</v>
      </c>
    </row>
    <row r="18" spans="1:53" ht="15" thickBot="1" x14ac:dyDescent="0.35">
      <c r="A18" s="184" t="s">
        <v>60</v>
      </c>
      <c r="B18" s="160">
        <v>43922</v>
      </c>
      <c r="C18" s="259">
        <v>43955</v>
      </c>
      <c r="D18" s="129">
        <v>800</v>
      </c>
      <c r="E18" s="129">
        <v>60</v>
      </c>
      <c r="F18" s="171">
        <v>0</v>
      </c>
      <c r="G18" s="171">
        <v>1920</v>
      </c>
      <c r="H18" s="171">
        <v>320</v>
      </c>
      <c r="I18" s="171">
        <v>0</v>
      </c>
      <c r="J18" s="129">
        <v>2320</v>
      </c>
      <c r="K18" s="129">
        <v>350</v>
      </c>
      <c r="L18" s="356">
        <v>0</v>
      </c>
      <c r="M18" s="129">
        <v>1996</v>
      </c>
      <c r="N18" s="129">
        <v>648</v>
      </c>
      <c r="O18" s="356">
        <v>0</v>
      </c>
      <c r="P18" s="129">
        <v>1177</v>
      </c>
      <c r="Q18" s="129">
        <v>418</v>
      </c>
      <c r="R18" s="129">
        <v>0</v>
      </c>
      <c r="S18" s="129">
        <v>660</v>
      </c>
      <c r="T18" s="129">
        <v>240</v>
      </c>
      <c r="U18" s="129">
        <v>0</v>
      </c>
      <c r="V18" s="129">
        <v>150</v>
      </c>
      <c r="W18" s="129">
        <v>560</v>
      </c>
      <c r="X18" s="129">
        <v>0</v>
      </c>
      <c r="Y18" s="129">
        <v>700</v>
      </c>
      <c r="Z18" s="129">
        <v>300</v>
      </c>
      <c r="AA18" s="129">
        <v>0</v>
      </c>
      <c r="AB18" s="129">
        <v>250</v>
      </c>
      <c r="AC18" s="129">
        <v>170</v>
      </c>
      <c r="AD18" s="129">
        <v>0</v>
      </c>
      <c r="AE18" s="129">
        <v>950</v>
      </c>
      <c r="AF18" s="129">
        <v>650</v>
      </c>
      <c r="AG18" s="129">
        <v>0</v>
      </c>
      <c r="AH18" s="231">
        <f>+Janvier!AJ18</f>
        <v>785.76923076923083</v>
      </c>
      <c r="AI18" s="231">
        <f>+Janvier!AK18</f>
        <v>2444.6153846153852</v>
      </c>
      <c r="AJ18" s="231">
        <f>+Janvier!AL18</f>
        <v>1833.4615384615383</v>
      </c>
      <c r="AK18" s="231">
        <f>+Janvier!AM18</f>
        <v>1833.4615384615383</v>
      </c>
      <c r="AL18" s="231">
        <f>+Janvier!AN18</f>
        <v>1111.1888111888113</v>
      </c>
      <c r="AM18" s="231">
        <f>+Janvier!AO18</f>
        <v>687.54807692307713</v>
      </c>
      <c r="AN18" s="231">
        <f>+Janvier!AP18</f>
        <v>1375.0961538461543</v>
      </c>
      <c r="AO18" s="231">
        <f>+Janvier!AQ18</f>
        <v>687.54807692307713</v>
      </c>
      <c r="AP18" s="231">
        <f>+Janvier!AR18</f>
        <v>687.54807692307713</v>
      </c>
      <c r="AQ18" s="231">
        <f>+Janvier!AS18</f>
        <v>1222.3076923076926</v>
      </c>
      <c r="AR18" s="16">
        <f t="shared" si="20"/>
        <v>0</v>
      </c>
      <c r="AS18" s="16">
        <f t="shared" si="21"/>
        <v>1</v>
      </c>
      <c r="AT18" s="16">
        <f t="shared" si="22"/>
        <v>1</v>
      </c>
      <c r="AU18" s="16">
        <f t="shared" si="23"/>
        <v>2</v>
      </c>
      <c r="AV18" s="16">
        <f t="shared" si="24"/>
        <v>2</v>
      </c>
      <c r="AW18" s="16">
        <f t="shared" si="25"/>
        <v>2</v>
      </c>
      <c r="AX18" s="16">
        <f t="shared" si="26"/>
        <v>2</v>
      </c>
      <c r="AY18" s="16">
        <f t="shared" si="27"/>
        <v>2</v>
      </c>
      <c r="AZ18" s="16">
        <f t="shared" si="28"/>
        <v>1</v>
      </c>
      <c r="BA18" s="17">
        <f t="shared" si="29"/>
        <v>3</v>
      </c>
    </row>
    <row r="19" spans="1:53" ht="15" thickBot="1" x14ac:dyDescent="0.35">
      <c r="A19" s="184" t="s">
        <v>61</v>
      </c>
      <c r="B19" s="160">
        <v>43922</v>
      </c>
      <c r="C19" s="259">
        <v>43955</v>
      </c>
      <c r="D19" s="129">
        <v>0</v>
      </c>
      <c r="E19" s="129">
        <v>20</v>
      </c>
      <c r="F19" s="171">
        <v>0</v>
      </c>
      <c r="G19" s="171">
        <v>360</v>
      </c>
      <c r="H19" s="171">
        <v>200</v>
      </c>
      <c r="I19" s="171">
        <v>0</v>
      </c>
      <c r="J19" s="129">
        <v>430</v>
      </c>
      <c r="K19" s="129">
        <v>190</v>
      </c>
      <c r="L19" s="129">
        <v>0</v>
      </c>
      <c r="M19" s="129">
        <v>0</v>
      </c>
      <c r="N19" s="129">
        <v>0</v>
      </c>
      <c r="O19" s="129">
        <v>0</v>
      </c>
      <c r="P19" s="129">
        <v>0</v>
      </c>
      <c r="Q19" s="129">
        <v>375</v>
      </c>
      <c r="R19" s="129">
        <v>0</v>
      </c>
      <c r="S19" s="129">
        <v>0</v>
      </c>
      <c r="T19" s="129">
        <v>120</v>
      </c>
      <c r="U19" s="129">
        <v>0</v>
      </c>
      <c r="V19" s="129">
        <v>0</v>
      </c>
      <c r="W19" s="129">
        <v>700</v>
      </c>
      <c r="X19" s="129">
        <v>0</v>
      </c>
      <c r="Y19" s="129">
        <v>0</v>
      </c>
      <c r="Z19" s="129">
        <v>400</v>
      </c>
      <c r="AA19" s="129">
        <v>0</v>
      </c>
      <c r="AB19" s="129">
        <v>0</v>
      </c>
      <c r="AC19" s="129">
        <v>100</v>
      </c>
      <c r="AD19" s="129">
        <v>0</v>
      </c>
      <c r="AE19" s="129">
        <v>0</v>
      </c>
      <c r="AF19" s="129">
        <v>800</v>
      </c>
      <c r="AG19" s="129">
        <v>0</v>
      </c>
      <c r="AH19" s="231">
        <f>+Janvier!AJ19</f>
        <v>309.43681318681325</v>
      </c>
      <c r="AI19" s="231">
        <f>+Janvier!AK19</f>
        <v>962.69230769230785</v>
      </c>
      <c r="AJ19" s="231">
        <f>+Janvier!AL19</f>
        <v>722.01923076923083</v>
      </c>
      <c r="AK19" s="231">
        <f>+Janvier!AM19</f>
        <v>722.01923076923083</v>
      </c>
      <c r="AL19" s="231">
        <f>+Janvier!AN19</f>
        <v>437.5874125874127</v>
      </c>
      <c r="AM19" s="231">
        <f>+Janvier!AO19</f>
        <v>270.75721153846155</v>
      </c>
      <c r="AN19" s="231">
        <f>+Janvier!AP19</f>
        <v>541.51442307692309</v>
      </c>
      <c r="AO19" s="231">
        <f>+Janvier!AQ19</f>
        <v>270.75721153846155</v>
      </c>
      <c r="AP19" s="231">
        <f>+Janvier!AR19</f>
        <v>270.75721153846155</v>
      </c>
      <c r="AQ19" s="231">
        <f>+Janvier!AS19</f>
        <v>481.34615384615392</v>
      </c>
      <c r="AR19" s="16">
        <f t="shared" si="20"/>
        <v>0</v>
      </c>
      <c r="AS19" s="16">
        <f t="shared" si="21"/>
        <v>1</v>
      </c>
      <c r="AT19" s="16">
        <f t="shared" si="22"/>
        <v>1</v>
      </c>
      <c r="AU19" s="16">
        <f t="shared" si="23"/>
        <v>0</v>
      </c>
      <c r="AV19" s="16">
        <f t="shared" si="24"/>
        <v>4</v>
      </c>
      <c r="AW19" s="16">
        <f t="shared" si="25"/>
        <v>2</v>
      </c>
      <c r="AX19" s="16">
        <f t="shared" si="26"/>
        <v>6</v>
      </c>
      <c r="AY19" s="16">
        <f t="shared" si="27"/>
        <v>7</v>
      </c>
      <c r="AZ19" s="16">
        <f t="shared" si="28"/>
        <v>2</v>
      </c>
      <c r="BA19" s="17">
        <f t="shared" si="29"/>
        <v>8</v>
      </c>
    </row>
    <row r="20" spans="1:53" ht="15" thickBot="1" x14ac:dyDescent="0.35">
      <c r="A20" s="121" t="s">
        <v>62</v>
      </c>
      <c r="B20" s="160">
        <v>43922</v>
      </c>
      <c r="C20" s="259">
        <v>43955</v>
      </c>
      <c r="D20" s="129">
        <v>220</v>
      </c>
      <c r="E20" s="129">
        <v>40</v>
      </c>
      <c r="F20" s="171">
        <v>0</v>
      </c>
      <c r="G20" s="171">
        <v>2000</v>
      </c>
      <c r="H20" s="171">
        <v>600</v>
      </c>
      <c r="I20" s="171">
        <v>0</v>
      </c>
      <c r="J20" s="129">
        <v>800</v>
      </c>
      <c r="K20" s="129">
        <v>580</v>
      </c>
      <c r="L20" s="129">
        <v>0</v>
      </c>
      <c r="M20" s="129">
        <v>1184</v>
      </c>
      <c r="N20" s="129">
        <v>484</v>
      </c>
      <c r="O20" s="129">
        <v>0</v>
      </c>
      <c r="P20" s="129">
        <v>650</v>
      </c>
      <c r="Q20" s="129">
        <v>202</v>
      </c>
      <c r="R20" s="129">
        <v>0</v>
      </c>
      <c r="S20" s="129">
        <v>350</v>
      </c>
      <c r="T20" s="129">
        <v>90</v>
      </c>
      <c r="U20" s="129">
        <v>0</v>
      </c>
      <c r="V20" s="129">
        <v>700</v>
      </c>
      <c r="W20" s="129">
        <v>200</v>
      </c>
      <c r="X20" s="129">
        <v>0</v>
      </c>
      <c r="Y20" s="129">
        <v>500</v>
      </c>
      <c r="Z20" s="129">
        <v>40</v>
      </c>
      <c r="AA20" s="129">
        <v>0</v>
      </c>
      <c r="AB20" s="129">
        <v>0</v>
      </c>
      <c r="AC20" s="129">
        <v>0</v>
      </c>
      <c r="AD20" s="129">
        <v>0</v>
      </c>
      <c r="AE20" s="129">
        <v>0</v>
      </c>
      <c r="AF20" s="129">
        <v>40</v>
      </c>
      <c r="AG20" s="129">
        <v>0</v>
      </c>
      <c r="AH20" s="231">
        <f>+Janvier!AJ20</f>
        <v>485.2335164835165</v>
      </c>
      <c r="AI20" s="231">
        <f>+Janvier!AK20</f>
        <v>1509.6153846153845</v>
      </c>
      <c r="AJ20" s="231">
        <f>+Janvier!AL20</f>
        <v>1132.2115384615383</v>
      </c>
      <c r="AK20" s="231">
        <f>+Janvier!AM20</f>
        <v>1132.2115384615383</v>
      </c>
      <c r="AL20" s="231">
        <f>+Janvier!AN20</f>
        <v>686.1888111888112</v>
      </c>
      <c r="AM20" s="231">
        <f>+Janvier!AO20</f>
        <v>424.57932692307691</v>
      </c>
      <c r="AN20" s="231">
        <f>+Janvier!AP20</f>
        <v>849.15865384615381</v>
      </c>
      <c r="AO20" s="231">
        <f>+Janvier!AQ20</f>
        <v>424.57932692307691</v>
      </c>
      <c r="AP20" s="231">
        <f>+Janvier!AR20</f>
        <v>424.57932692307691</v>
      </c>
      <c r="AQ20" s="231">
        <f>+Janvier!AS20</f>
        <v>754.80769230769226</v>
      </c>
      <c r="AR20" s="32">
        <f t="shared" si="20"/>
        <v>0</v>
      </c>
      <c r="AS20" s="32">
        <f t="shared" si="21"/>
        <v>2</v>
      </c>
      <c r="AT20" s="32">
        <f t="shared" si="22"/>
        <v>3</v>
      </c>
      <c r="AU20" s="32">
        <f t="shared" si="23"/>
        <v>2</v>
      </c>
      <c r="AV20" s="32">
        <f t="shared" si="24"/>
        <v>1</v>
      </c>
      <c r="AW20" s="32">
        <f t="shared" si="25"/>
        <v>1</v>
      </c>
      <c r="AX20" s="32">
        <f t="shared" si="26"/>
        <v>1</v>
      </c>
      <c r="AY20" s="32">
        <f t="shared" si="27"/>
        <v>0</v>
      </c>
      <c r="AZ20" s="32">
        <f t="shared" si="28"/>
        <v>0</v>
      </c>
      <c r="BA20" s="33">
        <f t="shared" si="29"/>
        <v>0</v>
      </c>
    </row>
    <row r="21" spans="1:53" x14ac:dyDescent="0.3">
      <c r="A21" s="140" t="s">
        <v>91</v>
      </c>
      <c r="B21" s="160">
        <v>43922</v>
      </c>
      <c r="C21" s="160">
        <v>43955</v>
      </c>
      <c r="D21" s="252">
        <v>0</v>
      </c>
      <c r="E21" s="149">
        <v>4000</v>
      </c>
      <c r="F21" s="150">
        <v>0</v>
      </c>
      <c r="G21" s="151">
        <v>0</v>
      </c>
      <c r="H21" s="149">
        <v>36660</v>
      </c>
      <c r="I21" s="227">
        <v>0</v>
      </c>
      <c r="J21" s="151">
        <v>0</v>
      </c>
      <c r="K21" s="149">
        <v>27550</v>
      </c>
      <c r="L21" s="150">
        <v>0</v>
      </c>
      <c r="M21" s="151">
        <v>0</v>
      </c>
      <c r="N21" s="149">
        <v>24628</v>
      </c>
      <c r="O21" s="150">
        <v>0</v>
      </c>
      <c r="P21" s="151">
        <v>0</v>
      </c>
      <c r="Q21" s="149">
        <v>14028</v>
      </c>
      <c r="R21" s="150">
        <v>0</v>
      </c>
      <c r="S21" s="151">
        <v>0</v>
      </c>
      <c r="T21" s="149">
        <v>8300</v>
      </c>
      <c r="U21" s="150">
        <v>0</v>
      </c>
      <c r="V21" s="151">
        <v>0</v>
      </c>
      <c r="W21" s="149">
        <v>5580</v>
      </c>
      <c r="X21" s="150">
        <v>0</v>
      </c>
      <c r="Y21" s="151">
        <v>0</v>
      </c>
      <c r="Z21" s="353">
        <v>1140</v>
      </c>
      <c r="AA21" s="354">
        <v>0</v>
      </c>
      <c r="AB21" s="355">
        <v>0</v>
      </c>
      <c r="AC21" s="149">
        <v>8100</v>
      </c>
      <c r="AD21" s="150">
        <v>0</v>
      </c>
      <c r="AE21" s="151">
        <v>0</v>
      </c>
      <c r="AF21" s="149">
        <v>32320</v>
      </c>
      <c r="AG21" s="227">
        <v>0</v>
      </c>
      <c r="AH21" s="231">
        <f>+Janvier!AJ21</f>
        <v>46732.578750000001</v>
      </c>
      <c r="AI21" s="231">
        <f>+Janvier!AK21</f>
        <v>160746.05769230769</v>
      </c>
      <c r="AJ21" s="231">
        <f>+Janvier!AL21</f>
        <v>107056.87442307695</v>
      </c>
      <c r="AK21" s="231">
        <f>+Janvier!AM21</f>
        <v>107056.87442307695</v>
      </c>
      <c r="AL21" s="231">
        <f>+Janvier!AN21</f>
        <v>67513.344230769231</v>
      </c>
      <c r="AM21" s="231">
        <f>+Janvier!AO21</f>
        <v>40186.514423076922</v>
      </c>
      <c r="AN21" s="231">
        <f>+Janvier!AP21</f>
        <v>80373.028846153844</v>
      </c>
      <c r="AO21" s="231">
        <f>+Janvier!AQ21</f>
        <v>40186.514423076922</v>
      </c>
      <c r="AP21" s="231">
        <f>+Janvier!AR21</f>
        <v>40186.514423076922</v>
      </c>
      <c r="AQ21" s="231">
        <f>+Janvier!AS21</f>
        <v>72549.877500000002</v>
      </c>
      <c r="AR21" s="90">
        <f>ROUND(E21/(AH21/15),0)</f>
        <v>1</v>
      </c>
      <c r="AS21" s="90">
        <f t="shared" ref="AS21" si="30">ROUND(H21/(AI21/15),0)</f>
        <v>3</v>
      </c>
      <c r="AT21" s="90">
        <f t="shared" ref="AT21" si="31">ROUND(K21/(AJ21/15),0)</f>
        <v>4</v>
      </c>
      <c r="AU21" s="90">
        <f t="shared" ref="AU21" si="32">ROUND(N21/(AK21/15),0)</f>
        <v>3</v>
      </c>
      <c r="AV21" s="90">
        <f t="shared" ref="AV21" si="33">ROUND(Q21/(AL21/15),0)</f>
        <v>3</v>
      </c>
      <c r="AW21" s="90">
        <f t="shared" ref="AW21" si="34">ROUND(T21/(AM21/15),0)</f>
        <v>3</v>
      </c>
      <c r="AX21" s="90">
        <f t="shared" ref="AX21" si="35">ROUND(W21/(AN21/15),0)</f>
        <v>1</v>
      </c>
      <c r="AY21" s="90">
        <f t="shared" ref="AY21" si="36">ROUND(Z21/(AO21/15),0)</f>
        <v>0</v>
      </c>
      <c r="AZ21" s="90">
        <f t="shared" ref="AZ21" si="37">ROUND(AC21/(AP21/15),0)</f>
        <v>3</v>
      </c>
      <c r="BA21" s="91">
        <f t="shared" ref="BA21" si="38">ROUND(AF21/(AQ21/15),0)</f>
        <v>7</v>
      </c>
    </row>
    <row r="22" spans="1:53" x14ac:dyDescent="0.3">
      <c r="A22" s="184" t="s">
        <v>14</v>
      </c>
      <c r="B22" s="94">
        <v>43922</v>
      </c>
      <c r="C22" s="94">
        <v>43951</v>
      </c>
      <c r="D22" s="104">
        <v>1660</v>
      </c>
      <c r="E22" s="96">
        <v>1900</v>
      </c>
      <c r="F22" s="97">
        <v>0</v>
      </c>
      <c r="G22" s="95">
        <v>4400</v>
      </c>
      <c r="H22" s="96">
        <v>6000</v>
      </c>
      <c r="I22" s="105">
        <v>0</v>
      </c>
      <c r="J22" s="95">
        <v>3380</v>
      </c>
      <c r="K22" s="96">
        <v>4500</v>
      </c>
      <c r="L22" s="97">
        <v>0</v>
      </c>
      <c r="M22" s="95">
        <v>3472</v>
      </c>
      <c r="N22" s="96">
        <v>4500</v>
      </c>
      <c r="O22" s="97">
        <v>0</v>
      </c>
      <c r="P22" s="95">
        <v>2005</v>
      </c>
      <c r="Q22" s="96">
        <v>2885</v>
      </c>
      <c r="R22" s="97">
        <v>0</v>
      </c>
      <c r="S22" s="95">
        <v>1310</v>
      </c>
      <c r="T22" s="96">
        <v>1500</v>
      </c>
      <c r="U22" s="97">
        <v>0</v>
      </c>
      <c r="V22" s="95">
        <v>2110</v>
      </c>
      <c r="W22" s="96">
        <v>3580</v>
      </c>
      <c r="X22" s="97">
        <v>0</v>
      </c>
      <c r="Y22" s="95">
        <v>1540</v>
      </c>
      <c r="Z22" s="96">
        <v>1790</v>
      </c>
      <c r="AA22" s="100">
        <v>0</v>
      </c>
      <c r="AB22" s="95">
        <v>1480</v>
      </c>
      <c r="AC22" s="96">
        <v>1790</v>
      </c>
      <c r="AD22" s="97">
        <v>0</v>
      </c>
      <c r="AE22" s="95">
        <v>1940</v>
      </c>
      <c r="AF22" s="96">
        <v>3750</v>
      </c>
      <c r="AG22" s="105">
        <v>0</v>
      </c>
      <c r="AH22" s="231">
        <f>+Janvier!AJ22</f>
        <v>1770.3296703296703</v>
      </c>
      <c r="AI22" s="231">
        <f>+Janvier!AK22</f>
        <v>5507.6923076923067</v>
      </c>
      <c r="AJ22" s="231">
        <f>+Janvier!AL22</f>
        <v>4130.7692307692305</v>
      </c>
      <c r="AK22" s="231">
        <f>+Janvier!AM22</f>
        <v>4130.7692307692305</v>
      </c>
      <c r="AL22" s="231">
        <f>+Janvier!AN22</f>
        <v>2503.4965034965039</v>
      </c>
      <c r="AM22" s="231">
        <f>+Janvier!AO22</f>
        <v>1549.0384615384617</v>
      </c>
      <c r="AN22" s="231">
        <f>+Janvier!AP22</f>
        <v>3098.0769230769233</v>
      </c>
      <c r="AO22" s="231">
        <f>+Janvier!AQ22</f>
        <v>1549.0384615384617</v>
      </c>
      <c r="AP22" s="231">
        <f>+Janvier!AR22</f>
        <v>1549.0384615384617</v>
      </c>
      <c r="AQ22" s="231">
        <f>+Janvier!AS22</f>
        <v>2753.8461538461534</v>
      </c>
      <c r="AR22" s="90">
        <f t="shared" ref="AR22:AR29" si="39">ROUND(E22/(AH22/5),0)</f>
        <v>5</v>
      </c>
      <c r="AS22" s="90">
        <f t="shared" ref="AS22:AS29" si="40">ROUND(H22/(AI22/5),0)</f>
        <v>5</v>
      </c>
      <c r="AT22" s="90">
        <f t="shared" ref="AT22:AT29" si="41">ROUND(K22/(AJ22/5),0)</f>
        <v>5</v>
      </c>
      <c r="AU22" s="90">
        <f t="shared" ref="AU22:AU29" si="42">ROUND(N22/(AK22/5),0)</f>
        <v>5</v>
      </c>
      <c r="AV22" s="90">
        <f t="shared" ref="AV22:AV29" si="43">ROUND(Q22/(AL22/5),0)</f>
        <v>6</v>
      </c>
      <c r="AW22" s="90">
        <f t="shared" ref="AW22:AW29" si="44">ROUND(T22/(AM22/5),0)</f>
        <v>5</v>
      </c>
      <c r="AX22" s="90">
        <f t="shared" ref="AX22" si="45">ROUND(W22/(AN22/5),0)</f>
        <v>6</v>
      </c>
      <c r="AY22" s="90">
        <f t="shared" ref="AY22:AY29" si="46">ROUND(Z22/(AO22/5),0)</f>
        <v>6</v>
      </c>
      <c r="AZ22" s="90">
        <f t="shared" ref="AZ22:AZ29" si="47">ROUND(AC22/(AP22/5),0)</f>
        <v>6</v>
      </c>
      <c r="BA22" s="91">
        <f t="shared" ref="BA22:BA29" si="48">ROUND(AF22/(AQ22/5),0)</f>
        <v>7</v>
      </c>
    </row>
    <row r="23" spans="1:53" x14ac:dyDescent="0.3">
      <c r="A23" s="184" t="s">
        <v>15</v>
      </c>
      <c r="B23" s="94">
        <v>43922</v>
      </c>
      <c r="C23" s="94">
        <v>43953</v>
      </c>
      <c r="D23" s="104">
        <v>1520</v>
      </c>
      <c r="E23" s="96">
        <v>840</v>
      </c>
      <c r="F23" s="97">
        <v>0</v>
      </c>
      <c r="G23" s="95">
        <v>3860</v>
      </c>
      <c r="H23" s="96">
        <v>2600</v>
      </c>
      <c r="I23" s="105">
        <v>0</v>
      </c>
      <c r="J23" s="95">
        <v>3100</v>
      </c>
      <c r="K23" s="96">
        <v>1950</v>
      </c>
      <c r="L23" s="97">
        <v>0</v>
      </c>
      <c r="M23" s="95">
        <v>3386</v>
      </c>
      <c r="N23" s="96">
        <v>1950</v>
      </c>
      <c r="O23" s="97">
        <v>0</v>
      </c>
      <c r="P23" s="95">
        <v>1961</v>
      </c>
      <c r="Q23" s="96">
        <v>1261</v>
      </c>
      <c r="R23" s="97">
        <v>0</v>
      </c>
      <c r="S23" s="95">
        <v>1150</v>
      </c>
      <c r="T23" s="96">
        <v>650</v>
      </c>
      <c r="U23" s="97">
        <v>0</v>
      </c>
      <c r="V23" s="95">
        <v>2000</v>
      </c>
      <c r="W23" s="96">
        <v>1560</v>
      </c>
      <c r="X23" s="97">
        <v>0</v>
      </c>
      <c r="Y23" s="95">
        <v>1350</v>
      </c>
      <c r="Z23" s="96">
        <v>780</v>
      </c>
      <c r="AA23" s="100">
        <v>0</v>
      </c>
      <c r="AB23" s="95">
        <v>1430</v>
      </c>
      <c r="AC23" s="96">
        <v>780</v>
      </c>
      <c r="AD23" s="97">
        <v>0</v>
      </c>
      <c r="AE23" s="95">
        <v>2070</v>
      </c>
      <c r="AF23" s="96">
        <v>1630</v>
      </c>
      <c r="AG23" s="105">
        <v>0</v>
      </c>
      <c r="AH23" s="231">
        <f>+Janvier!AJ23</f>
        <v>768.21428571428578</v>
      </c>
      <c r="AI23" s="231">
        <f>+Janvier!AK23</f>
        <v>2390.0000000000005</v>
      </c>
      <c r="AJ23" s="231">
        <f>+Janvier!AL23</f>
        <v>1792.5000000000002</v>
      </c>
      <c r="AK23" s="231">
        <f>+Janvier!AM23</f>
        <v>1792.5000000000002</v>
      </c>
      <c r="AL23" s="231">
        <f>+Janvier!AN23</f>
        <v>1086.3636363636365</v>
      </c>
      <c r="AM23" s="231">
        <f>+Janvier!AO23</f>
        <v>672.1875</v>
      </c>
      <c r="AN23" s="231">
        <f>+Janvier!AP23</f>
        <v>1344.375</v>
      </c>
      <c r="AO23" s="231">
        <f>+Janvier!AQ23</f>
        <v>672.1875</v>
      </c>
      <c r="AP23" s="231">
        <f>+Janvier!AR23</f>
        <v>672.1875</v>
      </c>
      <c r="AQ23" s="231">
        <f>+Janvier!AS23</f>
        <v>1195.0000000000002</v>
      </c>
      <c r="AR23" s="90">
        <f t="shared" si="39"/>
        <v>5</v>
      </c>
      <c r="AS23" s="90">
        <f t="shared" si="40"/>
        <v>5</v>
      </c>
      <c r="AT23" s="90">
        <f t="shared" si="41"/>
        <v>5</v>
      </c>
      <c r="AU23" s="90">
        <f t="shared" si="42"/>
        <v>5</v>
      </c>
      <c r="AV23" s="90">
        <f t="shared" si="43"/>
        <v>6</v>
      </c>
      <c r="AW23" s="90">
        <f t="shared" si="44"/>
        <v>5</v>
      </c>
      <c r="AX23" s="90">
        <f>ROUND(W23/(AN23/5),0)</f>
        <v>6</v>
      </c>
      <c r="AY23" s="90">
        <f t="shared" si="46"/>
        <v>6</v>
      </c>
      <c r="AZ23" s="90">
        <f t="shared" si="47"/>
        <v>6</v>
      </c>
      <c r="BA23" s="91">
        <f t="shared" si="48"/>
        <v>7</v>
      </c>
    </row>
    <row r="24" spans="1:53" ht="14.25" customHeight="1" x14ac:dyDescent="0.3">
      <c r="A24" s="184" t="s">
        <v>16</v>
      </c>
      <c r="B24" s="94">
        <v>43922</v>
      </c>
      <c r="C24" s="94">
        <v>43952</v>
      </c>
      <c r="D24" s="104">
        <v>3740</v>
      </c>
      <c r="E24" s="96">
        <v>2800</v>
      </c>
      <c r="F24" s="97">
        <v>0</v>
      </c>
      <c r="G24" s="95">
        <v>11780</v>
      </c>
      <c r="H24" s="96">
        <v>8860</v>
      </c>
      <c r="I24" s="105">
        <v>0</v>
      </c>
      <c r="J24" s="95">
        <v>8840</v>
      </c>
      <c r="K24" s="96">
        <v>6640</v>
      </c>
      <c r="L24" s="97">
        <v>0</v>
      </c>
      <c r="M24" s="95">
        <v>9872</v>
      </c>
      <c r="N24" s="96">
        <v>6640</v>
      </c>
      <c r="O24" s="97">
        <v>0</v>
      </c>
      <c r="P24" s="95">
        <v>6749</v>
      </c>
      <c r="Q24" s="96">
        <v>4249</v>
      </c>
      <c r="R24" s="97">
        <v>0</v>
      </c>
      <c r="S24" s="95">
        <v>3020</v>
      </c>
      <c r="T24" s="96">
        <v>2220</v>
      </c>
      <c r="U24" s="97">
        <v>0</v>
      </c>
      <c r="V24" s="95">
        <v>5900</v>
      </c>
      <c r="W24" s="96">
        <v>5270</v>
      </c>
      <c r="X24" s="97">
        <v>0</v>
      </c>
      <c r="Y24" s="95">
        <v>3520</v>
      </c>
      <c r="Z24" s="96">
        <v>2640</v>
      </c>
      <c r="AA24" s="100">
        <v>0</v>
      </c>
      <c r="AB24" s="95">
        <v>3500</v>
      </c>
      <c r="AC24" s="96">
        <v>2640</v>
      </c>
      <c r="AD24" s="97">
        <v>0</v>
      </c>
      <c r="AE24" s="95">
        <v>7830</v>
      </c>
      <c r="AF24" s="96">
        <v>5530</v>
      </c>
      <c r="AG24" s="105">
        <v>0</v>
      </c>
      <c r="AH24" s="231">
        <f>+Janvier!AJ24</f>
        <v>3452.1428571428573</v>
      </c>
      <c r="AI24" s="231">
        <f>+Janvier!AK24</f>
        <v>10740.000000000002</v>
      </c>
      <c r="AJ24" s="231">
        <f>+Janvier!AL24</f>
        <v>8055</v>
      </c>
      <c r="AK24" s="231">
        <f>+Janvier!AM24</f>
        <v>8055</v>
      </c>
      <c r="AL24" s="231">
        <f>+Janvier!AN24</f>
        <v>4881.818181818182</v>
      </c>
      <c r="AM24" s="231">
        <f>+Janvier!AO24</f>
        <v>3020.6250000000005</v>
      </c>
      <c r="AN24" s="231">
        <f>+Janvier!AP24</f>
        <v>6041.2500000000009</v>
      </c>
      <c r="AO24" s="231">
        <f>+Janvier!AQ24</f>
        <v>3020.6250000000005</v>
      </c>
      <c r="AP24" s="231">
        <f>+Janvier!AR24</f>
        <v>3020.6250000000005</v>
      </c>
      <c r="AQ24" s="231">
        <f>+Janvier!AS24</f>
        <v>5370.0000000000009</v>
      </c>
      <c r="AR24" s="90">
        <f t="shared" si="39"/>
        <v>4</v>
      </c>
      <c r="AS24" s="90">
        <f t="shared" si="40"/>
        <v>4</v>
      </c>
      <c r="AT24" s="90">
        <f t="shared" si="41"/>
        <v>4</v>
      </c>
      <c r="AU24" s="90">
        <f t="shared" si="42"/>
        <v>4</v>
      </c>
      <c r="AV24" s="90">
        <f t="shared" si="43"/>
        <v>4</v>
      </c>
      <c r="AW24" s="90">
        <f>ROUND(T24/(AM24/5),0)</f>
        <v>4</v>
      </c>
      <c r="AX24" s="90">
        <f t="shared" ref="AX24:AX29" si="49">ROUND(W24/(AN24/5),0)</f>
        <v>4</v>
      </c>
      <c r="AY24" s="90">
        <f t="shared" si="46"/>
        <v>4</v>
      </c>
      <c r="AZ24" s="90">
        <f t="shared" si="47"/>
        <v>4</v>
      </c>
      <c r="BA24" s="91">
        <f t="shared" si="48"/>
        <v>5</v>
      </c>
    </row>
    <row r="25" spans="1:53" ht="14.25" customHeight="1" x14ac:dyDescent="0.3">
      <c r="A25" s="184" t="s">
        <v>17</v>
      </c>
      <c r="B25" s="94">
        <v>43922</v>
      </c>
      <c r="C25" s="94">
        <v>43955</v>
      </c>
      <c r="D25" s="104">
        <v>5660</v>
      </c>
      <c r="E25" s="96">
        <v>3700</v>
      </c>
      <c r="F25" s="97">
        <v>0</v>
      </c>
      <c r="G25" s="95">
        <v>16120</v>
      </c>
      <c r="H25" s="96">
        <v>11700</v>
      </c>
      <c r="I25" s="105">
        <v>0</v>
      </c>
      <c r="J25" s="95">
        <v>12850</v>
      </c>
      <c r="K25" s="96">
        <v>8770</v>
      </c>
      <c r="L25" s="97">
        <v>0</v>
      </c>
      <c r="M25" s="95">
        <v>12166</v>
      </c>
      <c r="N25" s="96">
        <v>8770</v>
      </c>
      <c r="O25" s="97">
        <v>0</v>
      </c>
      <c r="P25" s="95">
        <v>8387</v>
      </c>
      <c r="Q25" s="96">
        <v>5625</v>
      </c>
      <c r="R25" s="97">
        <v>0</v>
      </c>
      <c r="S25" s="95">
        <v>4360</v>
      </c>
      <c r="T25" s="96">
        <v>2930</v>
      </c>
      <c r="U25" s="97">
        <v>0</v>
      </c>
      <c r="V25" s="95">
        <v>7360</v>
      </c>
      <c r="W25" s="96">
        <v>6970</v>
      </c>
      <c r="X25" s="97">
        <v>0</v>
      </c>
      <c r="Y25" s="95">
        <v>5640</v>
      </c>
      <c r="Z25" s="96">
        <v>3490</v>
      </c>
      <c r="AA25" s="100">
        <v>0</v>
      </c>
      <c r="AB25" s="95">
        <v>5170</v>
      </c>
      <c r="AC25" s="96">
        <v>3490</v>
      </c>
      <c r="AD25" s="97">
        <v>0</v>
      </c>
      <c r="AE25" s="95">
        <v>7520</v>
      </c>
      <c r="AF25" s="96">
        <v>7320</v>
      </c>
      <c r="AG25" s="105">
        <v>0</v>
      </c>
      <c r="AH25" s="231">
        <f>+Janvier!AJ25</f>
        <v>3638.3241758241757</v>
      </c>
      <c r="AI25" s="231">
        <f>+Janvier!AK25</f>
        <v>11319.23076923077</v>
      </c>
      <c r="AJ25" s="231">
        <f>+Janvier!AL25</f>
        <v>8489.423076923078</v>
      </c>
      <c r="AK25" s="231">
        <f>+Janvier!AM25</f>
        <v>8489.423076923078</v>
      </c>
      <c r="AL25" s="231">
        <f>+Janvier!AN25</f>
        <v>5145.1048951048951</v>
      </c>
      <c r="AM25" s="231">
        <f>+Janvier!AO25</f>
        <v>3183.5336538461534</v>
      </c>
      <c r="AN25" s="231">
        <f>+Janvier!AP25</f>
        <v>6367.0673076923067</v>
      </c>
      <c r="AO25" s="231">
        <f>+Janvier!AQ25</f>
        <v>3183.5336538461534</v>
      </c>
      <c r="AP25" s="231">
        <f>+Janvier!AR25</f>
        <v>3183.5336538461534</v>
      </c>
      <c r="AQ25" s="231">
        <f>+Janvier!AS25</f>
        <v>5659.6153846153848</v>
      </c>
      <c r="AR25" s="90">
        <f t="shared" si="39"/>
        <v>5</v>
      </c>
      <c r="AS25" s="90">
        <f t="shared" si="40"/>
        <v>5</v>
      </c>
      <c r="AT25" s="90">
        <f t="shared" si="41"/>
        <v>5</v>
      </c>
      <c r="AU25" s="90">
        <f t="shared" si="42"/>
        <v>5</v>
      </c>
      <c r="AV25" s="90">
        <f>ROUND(Q25/(AL25/5),0)</f>
        <v>5</v>
      </c>
      <c r="AW25" s="90">
        <f t="shared" si="44"/>
        <v>5</v>
      </c>
      <c r="AX25" s="90">
        <f t="shared" si="49"/>
        <v>5</v>
      </c>
      <c r="AY25" s="90">
        <f t="shared" si="46"/>
        <v>5</v>
      </c>
      <c r="AZ25" s="90">
        <f t="shared" si="47"/>
        <v>5</v>
      </c>
      <c r="BA25" s="91">
        <f t="shared" si="48"/>
        <v>6</v>
      </c>
    </row>
    <row r="26" spans="1:53" ht="14.25" customHeight="1" x14ac:dyDescent="0.3">
      <c r="A26" s="184" t="s">
        <v>18</v>
      </c>
      <c r="B26" s="94">
        <v>43922</v>
      </c>
      <c r="C26" s="94">
        <v>43951</v>
      </c>
      <c r="D26" s="104">
        <v>500</v>
      </c>
      <c r="E26" s="96">
        <v>800</v>
      </c>
      <c r="F26" s="97">
        <v>0</v>
      </c>
      <c r="G26" s="95">
        <v>1920</v>
      </c>
      <c r="H26" s="96">
        <v>2460</v>
      </c>
      <c r="I26" s="105">
        <v>0</v>
      </c>
      <c r="J26" s="95">
        <v>1310</v>
      </c>
      <c r="K26" s="96">
        <v>1840</v>
      </c>
      <c r="L26" s="97">
        <v>0</v>
      </c>
      <c r="M26" s="95">
        <v>1280</v>
      </c>
      <c r="N26" s="96">
        <v>1840</v>
      </c>
      <c r="O26" s="97">
        <v>0</v>
      </c>
      <c r="P26" s="95">
        <v>1003</v>
      </c>
      <c r="Q26" s="96">
        <v>1183</v>
      </c>
      <c r="R26" s="97">
        <v>0</v>
      </c>
      <c r="S26" s="95">
        <v>410</v>
      </c>
      <c r="T26" s="96">
        <v>620</v>
      </c>
      <c r="U26" s="97">
        <v>0</v>
      </c>
      <c r="V26" s="95">
        <v>1020</v>
      </c>
      <c r="W26" s="96">
        <v>1470</v>
      </c>
      <c r="X26" s="97">
        <v>0</v>
      </c>
      <c r="Y26" s="95">
        <v>560</v>
      </c>
      <c r="Z26" s="96">
        <v>740</v>
      </c>
      <c r="AA26" s="100">
        <v>0</v>
      </c>
      <c r="AB26" s="95">
        <v>570</v>
      </c>
      <c r="AC26" s="96">
        <v>740</v>
      </c>
      <c r="AD26" s="97">
        <v>0</v>
      </c>
      <c r="AE26" s="95">
        <v>1020</v>
      </c>
      <c r="AF26" s="96">
        <v>1540</v>
      </c>
      <c r="AG26" s="105">
        <v>0</v>
      </c>
      <c r="AH26" s="231">
        <f>+Janvier!AJ26</f>
        <v>723.70879120879124</v>
      </c>
      <c r="AI26" s="231">
        <f>+Janvier!AK26</f>
        <v>2251.5384615384619</v>
      </c>
      <c r="AJ26" s="231">
        <f>+Janvier!AL26</f>
        <v>1688.6538461538464</v>
      </c>
      <c r="AK26" s="231">
        <f>+Janvier!AM26</f>
        <v>1688.6538461538464</v>
      </c>
      <c r="AL26" s="231">
        <f>+Janvier!AN26</f>
        <v>1023.4265734265737</v>
      </c>
      <c r="AM26" s="231">
        <f>+Janvier!AO26</f>
        <v>633.24519230769238</v>
      </c>
      <c r="AN26" s="231">
        <f>+Janvier!AP26</f>
        <v>1266.4903846153848</v>
      </c>
      <c r="AO26" s="231">
        <f>+Janvier!AQ26</f>
        <v>633.24519230769238</v>
      </c>
      <c r="AP26" s="231">
        <f>+Janvier!AR26</f>
        <v>633.24519230769238</v>
      </c>
      <c r="AQ26" s="231">
        <f>+Janvier!AS26</f>
        <v>1125.7692307692309</v>
      </c>
      <c r="AR26" s="90">
        <f t="shared" si="39"/>
        <v>6</v>
      </c>
      <c r="AS26" s="90">
        <f t="shared" si="40"/>
        <v>5</v>
      </c>
      <c r="AT26" s="90">
        <f t="shared" si="41"/>
        <v>5</v>
      </c>
      <c r="AU26" s="90">
        <f t="shared" si="42"/>
        <v>5</v>
      </c>
      <c r="AV26" s="90">
        <f t="shared" si="43"/>
        <v>6</v>
      </c>
      <c r="AW26" s="90">
        <f t="shared" si="44"/>
        <v>5</v>
      </c>
      <c r="AX26" s="90">
        <f t="shared" si="49"/>
        <v>6</v>
      </c>
      <c r="AY26" s="90">
        <f t="shared" si="46"/>
        <v>6</v>
      </c>
      <c r="AZ26" s="90">
        <f t="shared" si="47"/>
        <v>6</v>
      </c>
      <c r="BA26" s="91">
        <f t="shared" si="48"/>
        <v>7</v>
      </c>
    </row>
    <row r="27" spans="1:53" ht="14.25" customHeight="1" x14ac:dyDescent="0.3">
      <c r="A27" s="184" t="s">
        <v>19</v>
      </c>
      <c r="B27" s="94">
        <v>43922</v>
      </c>
      <c r="C27" s="94">
        <v>43950</v>
      </c>
      <c r="D27" s="104">
        <v>1740</v>
      </c>
      <c r="E27" s="96">
        <v>1980</v>
      </c>
      <c r="F27" s="97">
        <v>0</v>
      </c>
      <c r="G27" s="95">
        <v>4600</v>
      </c>
      <c r="H27" s="96">
        <v>6240</v>
      </c>
      <c r="I27" s="105">
        <v>0</v>
      </c>
      <c r="J27" s="95">
        <v>3520</v>
      </c>
      <c r="K27" s="96">
        <v>4670</v>
      </c>
      <c r="L27" s="97">
        <v>0</v>
      </c>
      <c r="M27" s="95">
        <v>3414</v>
      </c>
      <c r="N27" s="96">
        <v>4670</v>
      </c>
      <c r="O27" s="97">
        <v>0</v>
      </c>
      <c r="P27" s="95">
        <v>2720</v>
      </c>
      <c r="Q27" s="96">
        <v>2988</v>
      </c>
      <c r="R27" s="97">
        <v>0</v>
      </c>
      <c r="S27" s="95">
        <v>1400</v>
      </c>
      <c r="T27" s="96">
        <v>1570</v>
      </c>
      <c r="U27" s="97">
        <v>0</v>
      </c>
      <c r="V27" s="95">
        <v>2120</v>
      </c>
      <c r="W27" s="96">
        <v>3700</v>
      </c>
      <c r="X27" s="97">
        <v>0</v>
      </c>
      <c r="Y27" s="95">
        <v>1430</v>
      </c>
      <c r="Z27" s="96">
        <v>1850</v>
      </c>
      <c r="AA27" s="100">
        <v>0</v>
      </c>
      <c r="AB27" s="95">
        <v>1450</v>
      </c>
      <c r="AC27" s="96">
        <v>1850</v>
      </c>
      <c r="AD27" s="97">
        <v>0</v>
      </c>
      <c r="AE27" s="95">
        <v>3020</v>
      </c>
      <c r="AF27" s="96">
        <v>3890</v>
      </c>
      <c r="AG27" s="105">
        <v>0</v>
      </c>
      <c r="AH27" s="231">
        <f>+Janvier!AJ27</f>
        <v>1833.75</v>
      </c>
      <c r="AI27" s="231">
        <f>+Janvier!AK27</f>
        <v>5705.0000000000009</v>
      </c>
      <c r="AJ27" s="231">
        <f>+Janvier!AL27</f>
        <v>4278.7500000000009</v>
      </c>
      <c r="AK27" s="231">
        <f>+Janvier!AM27</f>
        <v>4278.7500000000009</v>
      </c>
      <c r="AL27" s="231">
        <f>+Janvier!AN27</f>
        <v>2593.1818181818189</v>
      </c>
      <c r="AM27" s="231">
        <f>+Janvier!AO27</f>
        <v>1604.53125</v>
      </c>
      <c r="AN27" s="231">
        <f>+Janvier!AP27</f>
        <v>3209.0625</v>
      </c>
      <c r="AO27" s="231">
        <f>+Janvier!AQ27</f>
        <v>1604.53125</v>
      </c>
      <c r="AP27" s="231">
        <f>+Janvier!AR27</f>
        <v>1604.53125</v>
      </c>
      <c r="AQ27" s="231">
        <f>+Janvier!AS27</f>
        <v>2852.5000000000005</v>
      </c>
      <c r="AR27" s="90">
        <f t="shared" si="39"/>
        <v>5</v>
      </c>
      <c r="AS27" s="90">
        <f t="shared" si="40"/>
        <v>5</v>
      </c>
      <c r="AT27" s="90">
        <f t="shared" si="41"/>
        <v>5</v>
      </c>
      <c r="AU27" s="90">
        <f t="shared" si="42"/>
        <v>5</v>
      </c>
      <c r="AV27" s="90">
        <f t="shared" si="43"/>
        <v>6</v>
      </c>
      <c r="AW27" s="90">
        <f t="shared" si="44"/>
        <v>5</v>
      </c>
      <c r="AX27" s="90">
        <f t="shared" si="49"/>
        <v>6</v>
      </c>
      <c r="AY27" s="90">
        <f t="shared" si="46"/>
        <v>6</v>
      </c>
      <c r="AZ27" s="90">
        <f t="shared" si="47"/>
        <v>6</v>
      </c>
      <c r="BA27" s="91">
        <f t="shared" si="48"/>
        <v>7</v>
      </c>
    </row>
    <row r="28" spans="1:53" ht="14.25" customHeight="1" x14ac:dyDescent="0.3">
      <c r="A28" s="184" t="s">
        <v>20</v>
      </c>
      <c r="B28" s="94">
        <v>43922</v>
      </c>
      <c r="C28" s="94">
        <v>43952</v>
      </c>
      <c r="D28" s="104">
        <v>1780</v>
      </c>
      <c r="E28" s="96">
        <v>1340</v>
      </c>
      <c r="F28" s="97">
        <v>0</v>
      </c>
      <c r="G28" s="95">
        <v>4380</v>
      </c>
      <c r="H28" s="96">
        <v>4180</v>
      </c>
      <c r="I28" s="105">
        <v>0</v>
      </c>
      <c r="J28" s="95">
        <v>3230</v>
      </c>
      <c r="K28" s="96">
        <v>3130</v>
      </c>
      <c r="L28" s="97">
        <v>0</v>
      </c>
      <c r="M28" s="95">
        <v>3410</v>
      </c>
      <c r="N28" s="96">
        <v>3130</v>
      </c>
      <c r="O28" s="97">
        <v>0</v>
      </c>
      <c r="P28" s="95">
        <v>2213</v>
      </c>
      <c r="Q28" s="96">
        <v>2012</v>
      </c>
      <c r="R28" s="97">
        <v>0</v>
      </c>
      <c r="S28" s="95">
        <v>1230</v>
      </c>
      <c r="T28" s="96">
        <v>1050</v>
      </c>
      <c r="U28" s="97">
        <v>0</v>
      </c>
      <c r="V28" s="95">
        <v>1730</v>
      </c>
      <c r="W28" s="96">
        <v>2490</v>
      </c>
      <c r="X28" s="97">
        <v>0</v>
      </c>
      <c r="Y28" s="95">
        <v>1370</v>
      </c>
      <c r="Z28" s="96">
        <v>1250</v>
      </c>
      <c r="AA28" s="100">
        <v>0</v>
      </c>
      <c r="AB28" s="95">
        <v>1490</v>
      </c>
      <c r="AC28" s="96">
        <v>1250</v>
      </c>
      <c r="AD28" s="97">
        <v>0</v>
      </c>
      <c r="AE28" s="95">
        <v>2070</v>
      </c>
      <c r="AF28" s="96">
        <v>2620</v>
      </c>
      <c r="AG28" s="105">
        <v>0</v>
      </c>
      <c r="AH28" s="231">
        <f>+Janvier!AJ28</f>
        <v>1230.2060439560439</v>
      </c>
      <c r="AI28" s="231">
        <f>+Janvier!AK28</f>
        <v>3827.3076923076924</v>
      </c>
      <c r="AJ28" s="231">
        <f>+Janvier!AL28</f>
        <v>2870.4807692307691</v>
      </c>
      <c r="AK28" s="231">
        <f>+Janvier!AM28</f>
        <v>2870.4807692307691</v>
      </c>
      <c r="AL28" s="231">
        <f>+Janvier!AN28</f>
        <v>1739.6853146853146</v>
      </c>
      <c r="AM28" s="231">
        <f>+Janvier!AO28</f>
        <v>1076.4302884615383</v>
      </c>
      <c r="AN28" s="231">
        <f>+Janvier!AP28</f>
        <v>2152.8605769230767</v>
      </c>
      <c r="AO28" s="231">
        <f>+Janvier!AQ28</f>
        <v>1076.4302884615383</v>
      </c>
      <c r="AP28" s="231">
        <f>+Janvier!AR28</f>
        <v>1076.4302884615383</v>
      </c>
      <c r="AQ28" s="231">
        <f>+Janvier!AS28</f>
        <v>1913.6538461538462</v>
      </c>
      <c r="AR28" s="90">
        <f t="shared" si="39"/>
        <v>5</v>
      </c>
      <c r="AS28" s="90">
        <f t="shared" si="40"/>
        <v>5</v>
      </c>
      <c r="AT28" s="90">
        <f t="shared" si="41"/>
        <v>5</v>
      </c>
      <c r="AU28" s="90">
        <f t="shared" si="42"/>
        <v>5</v>
      </c>
      <c r="AV28" s="90">
        <f t="shared" si="43"/>
        <v>6</v>
      </c>
      <c r="AW28" s="90">
        <f t="shared" si="44"/>
        <v>5</v>
      </c>
      <c r="AX28" s="90">
        <f t="shared" si="49"/>
        <v>6</v>
      </c>
      <c r="AY28" s="90">
        <f t="shared" si="46"/>
        <v>6</v>
      </c>
      <c r="AZ28" s="90">
        <f t="shared" si="47"/>
        <v>6</v>
      </c>
      <c r="BA28" s="91">
        <f t="shared" si="48"/>
        <v>7</v>
      </c>
    </row>
    <row r="29" spans="1:53" ht="15" thickBot="1" x14ac:dyDescent="0.35">
      <c r="A29" s="121" t="s">
        <v>79</v>
      </c>
      <c r="B29" s="143">
        <v>43922</v>
      </c>
      <c r="C29" s="143">
        <v>43953</v>
      </c>
      <c r="D29" s="161">
        <v>1760</v>
      </c>
      <c r="E29" s="109">
        <v>2060</v>
      </c>
      <c r="F29" s="110">
        <v>0</v>
      </c>
      <c r="G29" s="111">
        <v>3740</v>
      </c>
      <c r="H29" s="109">
        <v>6440</v>
      </c>
      <c r="I29" s="112">
        <v>0</v>
      </c>
      <c r="J29" s="111">
        <v>4130</v>
      </c>
      <c r="K29" s="109">
        <v>4820</v>
      </c>
      <c r="L29" s="110">
        <v>0</v>
      </c>
      <c r="M29" s="111">
        <v>3428</v>
      </c>
      <c r="N29" s="109">
        <v>4820</v>
      </c>
      <c r="O29" s="110">
        <v>0</v>
      </c>
      <c r="P29" s="111">
        <v>2534</v>
      </c>
      <c r="Q29" s="109">
        <v>3084</v>
      </c>
      <c r="R29" s="110">
        <v>0</v>
      </c>
      <c r="S29" s="111">
        <v>1450</v>
      </c>
      <c r="T29" s="109">
        <v>1620</v>
      </c>
      <c r="U29" s="110">
        <v>0</v>
      </c>
      <c r="V29" s="111">
        <v>2260</v>
      </c>
      <c r="W29" s="109">
        <v>3820</v>
      </c>
      <c r="X29" s="110">
        <v>0</v>
      </c>
      <c r="Y29" s="111">
        <v>880</v>
      </c>
      <c r="Z29" s="109">
        <v>1920</v>
      </c>
      <c r="AA29" s="162">
        <v>0</v>
      </c>
      <c r="AB29" s="111">
        <v>1400</v>
      </c>
      <c r="AC29" s="109">
        <v>1920</v>
      </c>
      <c r="AD29" s="110">
        <v>0</v>
      </c>
      <c r="AE29" s="111">
        <v>2510</v>
      </c>
      <c r="AF29" s="109">
        <v>4020</v>
      </c>
      <c r="AG29" s="112">
        <v>0</v>
      </c>
      <c r="AH29" s="231">
        <f>+Janvier!AJ29</f>
        <v>1892.3489010989013</v>
      </c>
      <c r="AI29" s="231">
        <f>+Janvier!AK29</f>
        <v>5887.3076923076933</v>
      </c>
      <c r="AJ29" s="231">
        <f>+Janvier!AL29</f>
        <v>4415.4807692307704</v>
      </c>
      <c r="AK29" s="231">
        <f>+Janvier!AM29</f>
        <v>4415.4807692307704</v>
      </c>
      <c r="AL29" s="231">
        <f>+Janvier!AN29</f>
        <v>2676.0489510489515</v>
      </c>
      <c r="AM29" s="231">
        <f>+Janvier!AO29</f>
        <v>1655.8052884615383</v>
      </c>
      <c r="AN29" s="231">
        <f>+Janvier!AP29</f>
        <v>3311.6105769230767</v>
      </c>
      <c r="AO29" s="231">
        <f>+Janvier!AQ29</f>
        <v>1655.8052884615383</v>
      </c>
      <c r="AP29" s="231">
        <f>+Janvier!AR29</f>
        <v>1655.8052884615383</v>
      </c>
      <c r="AQ29" s="231">
        <f>+Janvier!AS29</f>
        <v>2943.6538461538466</v>
      </c>
      <c r="AR29" s="92">
        <f t="shared" si="39"/>
        <v>5</v>
      </c>
      <c r="AS29" s="92">
        <f t="shared" si="40"/>
        <v>5</v>
      </c>
      <c r="AT29" s="92">
        <f t="shared" si="41"/>
        <v>5</v>
      </c>
      <c r="AU29" s="92">
        <f t="shared" si="42"/>
        <v>5</v>
      </c>
      <c r="AV29" s="92">
        <f t="shared" si="43"/>
        <v>6</v>
      </c>
      <c r="AW29" s="92">
        <f t="shared" si="44"/>
        <v>5</v>
      </c>
      <c r="AX29" s="92">
        <f t="shared" si="49"/>
        <v>6</v>
      </c>
      <c r="AY29" s="92">
        <f t="shared" si="46"/>
        <v>6</v>
      </c>
      <c r="AZ29" s="92">
        <f t="shared" si="47"/>
        <v>6</v>
      </c>
      <c r="BA29" s="93">
        <f t="shared" si="48"/>
        <v>7</v>
      </c>
    </row>
    <row r="30" spans="1:53" ht="15" thickBot="1" x14ac:dyDescent="0.35">
      <c r="A30" s="140" t="s">
        <v>84</v>
      </c>
      <c r="B30" s="160" t="s">
        <v>144</v>
      </c>
      <c r="C30" s="160">
        <v>43920</v>
      </c>
      <c r="D30" s="163">
        <v>0</v>
      </c>
      <c r="E30" s="163">
        <v>2000</v>
      </c>
      <c r="F30" s="124">
        <v>0</v>
      </c>
      <c r="G30" s="254">
        <v>0</v>
      </c>
      <c r="H30" s="163">
        <v>81390</v>
      </c>
      <c r="I30" s="124">
        <v>0</v>
      </c>
      <c r="J30" s="253">
        <v>0</v>
      </c>
      <c r="K30" s="163">
        <v>44460</v>
      </c>
      <c r="L30" s="124">
        <v>0</v>
      </c>
      <c r="M30" s="163">
        <v>0</v>
      </c>
      <c r="N30" s="163">
        <v>50400</v>
      </c>
      <c r="O30" s="124">
        <v>0</v>
      </c>
      <c r="P30" s="163">
        <v>0</v>
      </c>
      <c r="Q30" s="163">
        <v>32000</v>
      </c>
      <c r="R30" s="124">
        <v>0</v>
      </c>
      <c r="S30" s="163">
        <v>0</v>
      </c>
      <c r="T30" s="163">
        <v>34400</v>
      </c>
      <c r="U30" s="124">
        <v>0</v>
      </c>
      <c r="V30" s="163">
        <v>0</v>
      </c>
      <c r="W30" s="163">
        <v>62800</v>
      </c>
      <c r="X30" s="124">
        <v>0</v>
      </c>
      <c r="Y30" s="163">
        <v>0</v>
      </c>
      <c r="Z30" s="163">
        <v>0</v>
      </c>
      <c r="AA30" s="115">
        <v>19</v>
      </c>
      <c r="AB30" s="163">
        <v>0</v>
      </c>
      <c r="AC30" s="163">
        <v>0</v>
      </c>
      <c r="AD30" s="124">
        <v>0</v>
      </c>
      <c r="AE30" s="163">
        <v>0</v>
      </c>
      <c r="AF30" s="163">
        <v>59600</v>
      </c>
      <c r="AG30" s="126">
        <v>0</v>
      </c>
      <c r="AH30" s="231">
        <f>+Janvier!AJ30</f>
        <v>84811.691250000003</v>
      </c>
      <c r="AI30" s="231">
        <f>+Janvier!AK30</f>
        <v>294602.45192307694</v>
      </c>
      <c r="AJ30" s="231">
        <f>+Janvier!AL30</f>
        <v>196205.23298076927</v>
      </c>
      <c r="AK30" s="231">
        <f>+Janvier!AM30</f>
        <v>196205.23298076927</v>
      </c>
      <c r="AL30" s="231">
        <f>+Janvier!AN30</f>
        <v>123733.02980769234</v>
      </c>
      <c r="AM30" s="231">
        <f>+Janvier!AO30</f>
        <v>73650.612980769234</v>
      </c>
      <c r="AN30" s="231">
        <f>+Janvier!AP30</f>
        <v>147301.22596153847</v>
      </c>
      <c r="AO30" s="231">
        <f>+Janvier!AQ30</f>
        <v>73650.612980769234</v>
      </c>
      <c r="AP30" s="231">
        <f>+Janvier!AR30</f>
        <v>73650.612980769234</v>
      </c>
      <c r="AQ30" s="231">
        <f>+Janvier!AS30</f>
        <v>131665.70250000001</v>
      </c>
      <c r="AR30" s="90">
        <f>ROUND(E30/(AH30/15),0)</f>
        <v>0</v>
      </c>
      <c r="AS30" s="90">
        <f t="shared" ref="AS30" si="50">ROUND(H30/(AI30/15),0)</f>
        <v>4</v>
      </c>
      <c r="AT30" s="90">
        <f t="shared" ref="AT30" si="51">ROUND(K30/(AJ30/15),0)</f>
        <v>3</v>
      </c>
      <c r="AU30" s="90">
        <f t="shared" ref="AU30" si="52">ROUND(N30/(AK30/15),0)</f>
        <v>4</v>
      </c>
      <c r="AV30" s="90">
        <f t="shared" ref="AV30" si="53">ROUND(Q30/(AL30/15),0)</f>
        <v>4</v>
      </c>
      <c r="AW30" s="90">
        <f t="shared" ref="AW30" si="54">ROUND(T30/(AM30/15),0)</f>
        <v>7</v>
      </c>
      <c r="AX30" s="90">
        <f t="shared" ref="AX30" si="55">ROUND(W30/(AN30/15),0)</f>
        <v>6</v>
      </c>
      <c r="AY30" s="90">
        <f t="shared" ref="AY30" si="56">ROUND(Z30/(AO30/15),0)</f>
        <v>0</v>
      </c>
      <c r="AZ30" s="90">
        <f t="shared" ref="AZ30" si="57">ROUND(AC30/(AP30/15),0)</f>
        <v>0</v>
      </c>
      <c r="BA30" s="91">
        <f t="shared" ref="BA30" si="58">ROUND(AF30/(AQ30/15),0)</f>
        <v>7</v>
      </c>
    </row>
    <row r="31" spans="1:53" ht="15" thickBot="1" x14ac:dyDescent="0.35">
      <c r="A31" s="184" t="s">
        <v>35</v>
      </c>
      <c r="B31" s="160" t="s">
        <v>144</v>
      </c>
      <c r="C31" s="94">
        <v>43920</v>
      </c>
      <c r="D31" s="106">
        <v>1440</v>
      </c>
      <c r="E31" s="106">
        <v>60</v>
      </c>
      <c r="F31" s="97">
        <v>0</v>
      </c>
      <c r="G31" s="116">
        <v>2960</v>
      </c>
      <c r="H31" s="106">
        <v>2360</v>
      </c>
      <c r="I31" s="97">
        <v>0</v>
      </c>
      <c r="J31" s="236">
        <v>1160</v>
      </c>
      <c r="K31" s="106">
        <v>1060</v>
      </c>
      <c r="L31" s="97">
        <v>0</v>
      </c>
      <c r="M31" s="106">
        <v>1352</v>
      </c>
      <c r="N31" s="106">
        <v>1120</v>
      </c>
      <c r="O31" s="97">
        <v>0</v>
      </c>
      <c r="P31" s="106">
        <v>756</v>
      </c>
      <c r="Q31" s="106">
        <v>856</v>
      </c>
      <c r="R31" s="97">
        <v>0</v>
      </c>
      <c r="S31" s="106">
        <v>670</v>
      </c>
      <c r="T31" s="106">
        <v>530</v>
      </c>
      <c r="U31" s="97">
        <v>0</v>
      </c>
      <c r="V31" s="106">
        <v>1900</v>
      </c>
      <c r="W31" s="106">
        <v>2310</v>
      </c>
      <c r="X31" s="97">
        <v>0</v>
      </c>
      <c r="Y31" s="106">
        <v>1270</v>
      </c>
      <c r="Z31" s="106">
        <v>240</v>
      </c>
      <c r="AA31" s="100">
        <v>0</v>
      </c>
      <c r="AB31" s="106">
        <v>790</v>
      </c>
      <c r="AC31" s="106">
        <v>0</v>
      </c>
      <c r="AD31" s="97">
        <v>15</v>
      </c>
      <c r="AE31" s="106">
        <v>2320</v>
      </c>
      <c r="AF31" s="106">
        <v>1860</v>
      </c>
      <c r="AG31" s="105">
        <v>0</v>
      </c>
      <c r="AH31" s="231">
        <f>+Janvier!AJ31</f>
        <v>2028.8324175824175</v>
      </c>
      <c r="AI31" s="231">
        <f>+Janvier!AK31</f>
        <v>6311.9230769230771</v>
      </c>
      <c r="AJ31" s="231">
        <f>+Janvier!AL31</f>
        <v>4733.9423076923076</v>
      </c>
      <c r="AK31" s="231">
        <f>+Janvier!AM31</f>
        <v>4733.9423076923076</v>
      </c>
      <c r="AL31" s="231">
        <f>+Janvier!AN31</f>
        <v>2869.0559440559441</v>
      </c>
      <c r="AM31" s="231">
        <f>+Janvier!AO31</f>
        <v>1775.2283653846155</v>
      </c>
      <c r="AN31" s="231">
        <f>+Janvier!AP31</f>
        <v>3550.4567307692309</v>
      </c>
      <c r="AO31" s="231">
        <f>+Janvier!AQ31</f>
        <v>1775.2283653846155</v>
      </c>
      <c r="AP31" s="231">
        <f>+Janvier!AR31</f>
        <v>1775.2283653846155</v>
      </c>
      <c r="AQ31" s="231">
        <f>+Janvier!AS31</f>
        <v>3155.9615384615386</v>
      </c>
      <c r="AR31" s="16">
        <f t="shared" ref="AR31:AR39" si="59">ROUND(E31/(AH31/5),0)</f>
        <v>0</v>
      </c>
      <c r="AS31" s="16">
        <f t="shared" ref="AS31:AS39" si="60">ROUND(H31/(AI31/5),0)</f>
        <v>2</v>
      </c>
      <c r="AT31" s="16">
        <f t="shared" ref="AT31:AT39" si="61">ROUND(K31/(AJ31/5),0)</f>
        <v>1</v>
      </c>
      <c r="AU31" s="16">
        <f t="shared" ref="AU31:AU39" si="62">ROUND(N31/(AK31/5),0)</f>
        <v>1</v>
      </c>
      <c r="AV31" s="16">
        <f t="shared" ref="AV31:AV39" si="63">ROUND(Q31/(AL31/5),0)</f>
        <v>1</v>
      </c>
      <c r="AW31" s="16">
        <f t="shared" ref="AW31:AW39" si="64">ROUND(T31/(AM31/5),0)</f>
        <v>1</v>
      </c>
      <c r="AX31" s="16">
        <f t="shared" ref="AX31:AX39" si="65">ROUND(W31/(AN31/5),0)</f>
        <v>3</v>
      </c>
      <c r="AY31" s="16">
        <f t="shared" ref="AY31:AY39" si="66">ROUND(Z31/(AO31/5),0)</f>
        <v>1</v>
      </c>
      <c r="AZ31" s="16">
        <f t="shared" ref="AZ31:AZ39" si="67">ROUND(AC31/(AP31/5),0)</f>
        <v>0</v>
      </c>
      <c r="BA31" s="17">
        <f t="shared" ref="BA31:BA39" si="68">ROUND(AF31/(AQ31/5),0)</f>
        <v>3</v>
      </c>
    </row>
    <row r="32" spans="1:53" ht="15" thickBot="1" x14ac:dyDescent="0.35">
      <c r="A32" s="184" t="s">
        <v>36</v>
      </c>
      <c r="B32" s="160" t="s">
        <v>144</v>
      </c>
      <c r="C32" s="94">
        <v>43920</v>
      </c>
      <c r="D32" s="106">
        <v>1560</v>
      </c>
      <c r="E32" s="96">
        <v>1000</v>
      </c>
      <c r="F32" s="97">
        <v>0</v>
      </c>
      <c r="G32" s="116">
        <v>2500</v>
      </c>
      <c r="H32" s="96">
        <v>2000</v>
      </c>
      <c r="I32" s="97">
        <v>0</v>
      </c>
      <c r="J32" s="236">
        <v>2800</v>
      </c>
      <c r="K32" s="96">
        <v>2000</v>
      </c>
      <c r="L32" s="97">
        <v>0</v>
      </c>
      <c r="M32" s="106">
        <v>3040</v>
      </c>
      <c r="N32" s="96">
        <v>2000</v>
      </c>
      <c r="O32" s="97">
        <v>0</v>
      </c>
      <c r="P32" s="106">
        <v>2131</v>
      </c>
      <c r="Q32" s="96">
        <v>1500</v>
      </c>
      <c r="R32" s="97">
        <v>0</v>
      </c>
      <c r="S32" s="106">
        <v>790</v>
      </c>
      <c r="T32" s="96">
        <v>700</v>
      </c>
      <c r="U32" s="97">
        <v>0</v>
      </c>
      <c r="V32" s="106">
        <v>2180</v>
      </c>
      <c r="W32" s="96">
        <v>2000</v>
      </c>
      <c r="X32" s="97">
        <v>0</v>
      </c>
      <c r="Y32" s="106">
        <v>240</v>
      </c>
      <c r="Z32" s="96">
        <v>240</v>
      </c>
      <c r="AA32" s="100">
        <v>0</v>
      </c>
      <c r="AB32" s="106">
        <v>90</v>
      </c>
      <c r="AC32" s="96">
        <v>0</v>
      </c>
      <c r="AD32" s="97">
        <v>0</v>
      </c>
      <c r="AE32" s="106">
        <v>956</v>
      </c>
      <c r="AF32" s="96">
        <v>1500</v>
      </c>
      <c r="AG32" s="105">
        <v>0</v>
      </c>
      <c r="AH32" s="231">
        <f>+Janvier!AJ32</f>
        <v>431.0851648351649</v>
      </c>
      <c r="AI32" s="231">
        <f>+Janvier!AK32</f>
        <v>1341.1538461538464</v>
      </c>
      <c r="AJ32" s="231">
        <f>+Janvier!AL32</f>
        <v>1005.8653846153848</v>
      </c>
      <c r="AK32" s="231">
        <f>+Janvier!AM32</f>
        <v>1005.8653846153848</v>
      </c>
      <c r="AL32" s="231">
        <f>+Janvier!AN32</f>
        <v>609.61538461538464</v>
      </c>
      <c r="AM32" s="231">
        <f>+Janvier!AO32</f>
        <v>377.19951923076917</v>
      </c>
      <c r="AN32" s="231">
        <f>+Janvier!AP32</f>
        <v>754.39903846153834</v>
      </c>
      <c r="AO32" s="231">
        <f>+Janvier!AQ32</f>
        <v>377.19951923076917</v>
      </c>
      <c r="AP32" s="231">
        <f>+Janvier!AR32</f>
        <v>377.19951923076917</v>
      </c>
      <c r="AQ32" s="231">
        <f>+Janvier!AS32</f>
        <v>670.57692307692321</v>
      </c>
      <c r="AR32" s="16">
        <f t="shared" si="59"/>
        <v>12</v>
      </c>
      <c r="AS32" s="16">
        <f t="shared" si="60"/>
        <v>7</v>
      </c>
      <c r="AT32" s="16">
        <f t="shared" si="61"/>
        <v>10</v>
      </c>
      <c r="AU32" s="16">
        <f t="shared" si="62"/>
        <v>10</v>
      </c>
      <c r="AV32" s="16">
        <f t="shared" si="63"/>
        <v>12</v>
      </c>
      <c r="AW32" s="16">
        <f t="shared" si="64"/>
        <v>9</v>
      </c>
      <c r="AX32" s="16">
        <f t="shared" si="65"/>
        <v>13</v>
      </c>
      <c r="AY32" s="16">
        <f t="shared" si="66"/>
        <v>3</v>
      </c>
      <c r="AZ32" s="16">
        <f t="shared" si="67"/>
        <v>0</v>
      </c>
      <c r="BA32" s="17">
        <f t="shared" si="68"/>
        <v>11</v>
      </c>
    </row>
    <row r="33" spans="1:53" ht="15" thickBot="1" x14ac:dyDescent="0.35">
      <c r="A33" s="184" t="s">
        <v>37</v>
      </c>
      <c r="B33" s="160" t="s">
        <v>144</v>
      </c>
      <c r="C33" s="94">
        <v>43920</v>
      </c>
      <c r="D33" s="106">
        <v>5640</v>
      </c>
      <c r="E33" s="106">
        <v>4820</v>
      </c>
      <c r="F33" s="97">
        <v>0</v>
      </c>
      <c r="G33" s="116">
        <v>28200</v>
      </c>
      <c r="H33" s="106">
        <v>18280</v>
      </c>
      <c r="I33" s="97">
        <v>0</v>
      </c>
      <c r="J33" s="236">
        <v>22480</v>
      </c>
      <c r="K33" s="106">
        <v>13360</v>
      </c>
      <c r="L33" s="97">
        <v>0</v>
      </c>
      <c r="M33" s="106">
        <v>21264</v>
      </c>
      <c r="N33" s="106">
        <v>12492</v>
      </c>
      <c r="O33" s="97">
        <v>0</v>
      </c>
      <c r="P33" s="106">
        <v>13954</v>
      </c>
      <c r="Q33" s="106">
        <v>9214</v>
      </c>
      <c r="R33" s="97">
        <v>0</v>
      </c>
      <c r="S33" s="106">
        <v>7450</v>
      </c>
      <c r="T33" s="106">
        <v>4750</v>
      </c>
      <c r="U33" s="97">
        <v>0</v>
      </c>
      <c r="V33" s="106">
        <v>17000</v>
      </c>
      <c r="W33" s="106">
        <v>8660</v>
      </c>
      <c r="X33" s="97">
        <v>0</v>
      </c>
      <c r="Y33" s="106">
        <v>8970</v>
      </c>
      <c r="Z33" s="106">
        <v>1390</v>
      </c>
      <c r="AA33" s="100">
        <v>0</v>
      </c>
      <c r="AB33" s="106">
        <v>0</v>
      </c>
      <c r="AC33" s="106">
        <v>0</v>
      </c>
      <c r="AD33" s="97">
        <v>30</v>
      </c>
      <c r="AE33" s="106">
        <v>14720</v>
      </c>
      <c r="AF33" s="106">
        <v>9390</v>
      </c>
      <c r="AG33" s="105">
        <v>0</v>
      </c>
      <c r="AH33" s="231">
        <f>+Janvier!AJ33</f>
        <v>5199.2307692307695</v>
      </c>
      <c r="AI33" s="231">
        <f>+Janvier!AK33</f>
        <v>16175.384615384613</v>
      </c>
      <c r="AJ33" s="231">
        <f>+Janvier!AL33</f>
        <v>12131.538461538461</v>
      </c>
      <c r="AK33" s="231">
        <f>+Janvier!AM33</f>
        <v>12131.538461538461</v>
      </c>
      <c r="AL33" s="231">
        <f>+Janvier!AN33</f>
        <v>7352.4475524475547</v>
      </c>
      <c r="AM33" s="231">
        <f>+Janvier!AO33</f>
        <v>4549.3269230769229</v>
      </c>
      <c r="AN33" s="231">
        <f>+Janvier!AP33</f>
        <v>9098.6538461538457</v>
      </c>
      <c r="AO33" s="231">
        <f>+Janvier!AQ33</f>
        <v>4549.3269230769229</v>
      </c>
      <c r="AP33" s="231">
        <f>+Janvier!AR33</f>
        <v>4549.3269230769229</v>
      </c>
      <c r="AQ33" s="231">
        <f>+Janvier!AS33</f>
        <v>8087.6923076923067</v>
      </c>
      <c r="AR33" s="16">
        <f t="shared" si="59"/>
        <v>5</v>
      </c>
      <c r="AS33" s="16">
        <f t="shared" si="60"/>
        <v>6</v>
      </c>
      <c r="AT33" s="16">
        <f t="shared" si="61"/>
        <v>6</v>
      </c>
      <c r="AU33" s="16">
        <f t="shared" si="62"/>
        <v>5</v>
      </c>
      <c r="AV33" s="16">
        <f t="shared" si="63"/>
        <v>6</v>
      </c>
      <c r="AW33" s="16">
        <f t="shared" si="64"/>
        <v>5</v>
      </c>
      <c r="AX33" s="16">
        <f t="shared" si="65"/>
        <v>5</v>
      </c>
      <c r="AY33" s="16">
        <f t="shared" si="66"/>
        <v>2</v>
      </c>
      <c r="AZ33" s="16">
        <f t="shared" si="67"/>
        <v>0</v>
      </c>
      <c r="BA33" s="17">
        <f t="shared" si="68"/>
        <v>6</v>
      </c>
    </row>
    <row r="34" spans="1:53" ht="15" thickBot="1" x14ac:dyDescent="0.35">
      <c r="A34" s="184" t="s">
        <v>38</v>
      </c>
      <c r="B34" s="160" t="s">
        <v>144</v>
      </c>
      <c r="C34" s="94">
        <v>43920</v>
      </c>
      <c r="D34" s="106">
        <v>2100</v>
      </c>
      <c r="E34" s="106">
        <v>1200</v>
      </c>
      <c r="F34" s="97">
        <v>0</v>
      </c>
      <c r="G34" s="116">
        <v>5000</v>
      </c>
      <c r="H34" s="106">
        <v>4000</v>
      </c>
      <c r="I34" s="97">
        <v>0</v>
      </c>
      <c r="J34" s="236">
        <v>5600</v>
      </c>
      <c r="K34" s="106">
        <v>2700</v>
      </c>
      <c r="L34" s="97">
        <v>0</v>
      </c>
      <c r="M34" s="106">
        <v>4876</v>
      </c>
      <c r="N34" s="106">
        <v>2076</v>
      </c>
      <c r="O34" s="97">
        <v>0</v>
      </c>
      <c r="P34" s="106">
        <v>3050</v>
      </c>
      <c r="Q34" s="106">
        <v>1900</v>
      </c>
      <c r="R34" s="97">
        <v>0</v>
      </c>
      <c r="S34" s="106">
        <v>1910</v>
      </c>
      <c r="T34" s="106">
        <v>900</v>
      </c>
      <c r="U34" s="97">
        <v>0</v>
      </c>
      <c r="V34" s="106">
        <v>2800</v>
      </c>
      <c r="W34" s="106">
        <v>1500</v>
      </c>
      <c r="X34" s="97">
        <v>0</v>
      </c>
      <c r="Y34" s="106">
        <v>640</v>
      </c>
      <c r="Z34" s="106">
        <v>0</v>
      </c>
      <c r="AA34" s="100">
        <v>0</v>
      </c>
      <c r="AB34" s="106">
        <v>540</v>
      </c>
      <c r="AC34" s="106">
        <v>0</v>
      </c>
      <c r="AD34" s="97">
        <v>0</v>
      </c>
      <c r="AE34" s="106">
        <v>3040</v>
      </c>
      <c r="AF34" s="106">
        <v>1600</v>
      </c>
      <c r="AG34" s="105">
        <v>0</v>
      </c>
      <c r="AH34" s="231">
        <f>+Janvier!AJ34</f>
        <v>1323.9148351648353</v>
      </c>
      <c r="AI34" s="231">
        <f>+Janvier!AK34</f>
        <v>4118.8461538461534</v>
      </c>
      <c r="AJ34" s="231">
        <f>+Janvier!AL34</f>
        <v>3089.1346153846152</v>
      </c>
      <c r="AK34" s="231">
        <f>+Janvier!AM34</f>
        <v>3089.1346153846152</v>
      </c>
      <c r="AL34" s="231">
        <f>+Janvier!AN34</f>
        <v>1872.2027972027972</v>
      </c>
      <c r="AM34" s="231">
        <f>+Janvier!AO34</f>
        <v>1158.4254807692307</v>
      </c>
      <c r="AN34" s="231">
        <f>+Janvier!AP34</f>
        <v>2316.8509615384614</v>
      </c>
      <c r="AO34" s="231">
        <f>+Janvier!AQ34</f>
        <v>1158.4254807692307</v>
      </c>
      <c r="AP34" s="231">
        <f>+Janvier!AR34</f>
        <v>1158.4254807692307</v>
      </c>
      <c r="AQ34" s="231">
        <f>+Janvier!AS34</f>
        <v>2059.4230769230767</v>
      </c>
      <c r="AR34" s="16">
        <f t="shared" si="59"/>
        <v>5</v>
      </c>
      <c r="AS34" s="16">
        <f t="shared" si="60"/>
        <v>5</v>
      </c>
      <c r="AT34" s="16">
        <f t="shared" si="61"/>
        <v>4</v>
      </c>
      <c r="AU34" s="16">
        <f t="shared" si="62"/>
        <v>3</v>
      </c>
      <c r="AV34" s="16">
        <f t="shared" si="63"/>
        <v>5</v>
      </c>
      <c r="AW34" s="16">
        <f t="shared" si="64"/>
        <v>4</v>
      </c>
      <c r="AX34" s="16">
        <f t="shared" si="65"/>
        <v>3</v>
      </c>
      <c r="AY34" s="16">
        <f t="shared" si="66"/>
        <v>0</v>
      </c>
      <c r="AZ34" s="16">
        <f t="shared" si="67"/>
        <v>0</v>
      </c>
      <c r="BA34" s="17">
        <f t="shared" si="68"/>
        <v>4</v>
      </c>
    </row>
    <row r="35" spans="1:53" ht="15" thickBot="1" x14ac:dyDescent="0.35">
      <c r="A35" s="184" t="s">
        <v>39</v>
      </c>
      <c r="B35" s="160" t="s">
        <v>144</v>
      </c>
      <c r="C35" s="94">
        <v>43920</v>
      </c>
      <c r="D35" s="106">
        <v>4760</v>
      </c>
      <c r="E35" s="106">
        <v>2000</v>
      </c>
      <c r="F35" s="97">
        <v>0</v>
      </c>
      <c r="G35" s="116">
        <v>14220</v>
      </c>
      <c r="H35" s="106">
        <v>11000</v>
      </c>
      <c r="I35" s="97">
        <v>0</v>
      </c>
      <c r="J35" s="236">
        <v>10220</v>
      </c>
      <c r="K35" s="106">
        <v>8700</v>
      </c>
      <c r="L35" s="97">
        <v>0</v>
      </c>
      <c r="M35" s="106">
        <v>9724</v>
      </c>
      <c r="N35" s="106">
        <v>8400</v>
      </c>
      <c r="O35" s="97">
        <v>0</v>
      </c>
      <c r="P35" s="106">
        <v>7000</v>
      </c>
      <c r="Q35" s="106">
        <v>5500</v>
      </c>
      <c r="R35" s="97">
        <v>0</v>
      </c>
      <c r="S35" s="106">
        <v>3640</v>
      </c>
      <c r="T35" s="106">
        <v>3200</v>
      </c>
      <c r="U35" s="97">
        <v>0</v>
      </c>
      <c r="V35" s="106">
        <v>8680</v>
      </c>
      <c r="W35" s="106">
        <v>5500</v>
      </c>
      <c r="X35" s="97">
        <v>0</v>
      </c>
      <c r="Y35" s="106">
        <v>3250</v>
      </c>
      <c r="Z35" s="106">
        <v>240</v>
      </c>
      <c r="AA35" s="100">
        <v>0</v>
      </c>
      <c r="AB35" s="106">
        <v>0</v>
      </c>
      <c r="AC35" s="106">
        <v>0</v>
      </c>
      <c r="AD35" s="97">
        <v>30</v>
      </c>
      <c r="AE35" s="106">
        <v>7680</v>
      </c>
      <c r="AF35" s="106">
        <v>4100</v>
      </c>
      <c r="AG35" s="105">
        <v>0</v>
      </c>
      <c r="AH35" s="231">
        <f>+Janvier!AJ35</f>
        <v>4319.1346153846152</v>
      </c>
      <c r="AI35" s="231">
        <f>+Janvier!AK35</f>
        <v>13437.307692307693</v>
      </c>
      <c r="AJ35" s="231">
        <f>+Janvier!AL35</f>
        <v>10077.98076923077</v>
      </c>
      <c r="AK35" s="231">
        <f>+Janvier!AM35</f>
        <v>10077.98076923077</v>
      </c>
      <c r="AL35" s="231">
        <f>+Janvier!AN35</f>
        <v>6107.8671328671326</v>
      </c>
      <c r="AM35" s="231">
        <f>+Janvier!AO35</f>
        <v>3779.2427884615386</v>
      </c>
      <c r="AN35" s="231">
        <f>+Janvier!AP35</f>
        <v>7558.4855769230771</v>
      </c>
      <c r="AO35" s="231">
        <f>+Janvier!AQ35</f>
        <v>3779.2427884615386</v>
      </c>
      <c r="AP35" s="231">
        <f>+Janvier!AR35</f>
        <v>3779.2427884615386</v>
      </c>
      <c r="AQ35" s="231">
        <f>+Janvier!AS35</f>
        <v>6718.6538461538466</v>
      </c>
      <c r="AR35" s="16">
        <f t="shared" si="59"/>
        <v>2</v>
      </c>
      <c r="AS35" s="16">
        <f t="shared" si="60"/>
        <v>4</v>
      </c>
      <c r="AT35" s="16">
        <f t="shared" si="61"/>
        <v>4</v>
      </c>
      <c r="AU35" s="16">
        <f t="shared" si="62"/>
        <v>4</v>
      </c>
      <c r="AV35" s="16">
        <f t="shared" si="63"/>
        <v>5</v>
      </c>
      <c r="AW35" s="16">
        <f t="shared" si="64"/>
        <v>4</v>
      </c>
      <c r="AX35" s="16">
        <f t="shared" si="65"/>
        <v>4</v>
      </c>
      <c r="AY35" s="16">
        <f t="shared" si="66"/>
        <v>0</v>
      </c>
      <c r="AZ35" s="16">
        <f t="shared" si="67"/>
        <v>0</v>
      </c>
      <c r="BA35" s="17">
        <f t="shared" si="68"/>
        <v>3</v>
      </c>
    </row>
    <row r="36" spans="1:53" ht="15" thickBot="1" x14ac:dyDescent="0.35">
      <c r="A36" s="184" t="s">
        <v>40</v>
      </c>
      <c r="B36" s="160" t="s">
        <v>144</v>
      </c>
      <c r="C36" s="94">
        <v>43920</v>
      </c>
      <c r="D36" s="106">
        <v>6080</v>
      </c>
      <c r="E36" s="106">
        <v>2400</v>
      </c>
      <c r="F36" s="97">
        <v>0</v>
      </c>
      <c r="G36" s="116">
        <v>18620</v>
      </c>
      <c r="H36" s="106">
        <v>8500</v>
      </c>
      <c r="I36" s="97">
        <v>0</v>
      </c>
      <c r="J36" s="236">
        <v>13450</v>
      </c>
      <c r="K36" s="106">
        <v>5310</v>
      </c>
      <c r="L36" s="97">
        <v>0</v>
      </c>
      <c r="M36" s="106">
        <v>13548</v>
      </c>
      <c r="N36" s="106">
        <v>6184</v>
      </c>
      <c r="O36" s="97">
        <v>0</v>
      </c>
      <c r="P36" s="106">
        <v>9300</v>
      </c>
      <c r="Q36" s="106">
        <v>4700</v>
      </c>
      <c r="R36" s="97">
        <v>0</v>
      </c>
      <c r="S36" s="106">
        <v>4920</v>
      </c>
      <c r="T36" s="106">
        <v>2470</v>
      </c>
      <c r="U36" s="97">
        <v>0</v>
      </c>
      <c r="V36" s="106">
        <v>11640</v>
      </c>
      <c r="W36" s="106">
        <v>5760</v>
      </c>
      <c r="X36" s="97">
        <v>0</v>
      </c>
      <c r="Y36" s="106">
        <v>4260</v>
      </c>
      <c r="Z36" s="106">
        <v>1180</v>
      </c>
      <c r="AA36" s="100">
        <v>0</v>
      </c>
      <c r="AB36" s="106">
        <v>320</v>
      </c>
      <c r="AC36" s="106">
        <v>0</v>
      </c>
      <c r="AD36" s="97">
        <v>25</v>
      </c>
      <c r="AE36" s="106">
        <v>8150</v>
      </c>
      <c r="AF36" s="106">
        <v>5350</v>
      </c>
      <c r="AG36" s="105">
        <v>0</v>
      </c>
      <c r="AH36" s="231">
        <f>+Janvier!AJ36</f>
        <v>3701.7445054945065</v>
      </c>
      <c r="AI36" s="231">
        <f>+Janvier!AK36</f>
        <v>11516.538461538461</v>
      </c>
      <c r="AJ36" s="231">
        <f>+Janvier!AL36</f>
        <v>8637.4038461538476</v>
      </c>
      <c r="AK36" s="231">
        <f>+Janvier!AM36</f>
        <v>8637.4038461538476</v>
      </c>
      <c r="AL36" s="231">
        <f>+Janvier!AN36</f>
        <v>5234.7902097902097</v>
      </c>
      <c r="AM36" s="231">
        <f>+Janvier!AO36</f>
        <v>3239.0264423076924</v>
      </c>
      <c r="AN36" s="231">
        <f>+Janvier!AP36</f>
        <v>6478.0528846153848</v>
      </c>
      <c r="AO36" s="231">
        <f>+Janvier!AQ36</f>
        <v>3239.0264423076924</v>
      </c>
      <c r="AP36" s="231">
        <f>+Janvier!AR36</f>
        <v>3239.0264423076924</v>
      </c>
      <c r="AQ36" s="231">
        <f>+Janvier!AS36</f>
        <v>5758.2692307692305</v>
      </c>
      <c r="AR36" s="16">
        <f t="shared" si="59"/>
        <v>3</v>
      </c>
      <c r="AS36" s="16">
        <f t="shared" si="60"/>
        <v>4</v>
      </c>
      <c r="AT36" s="16">
        <f t="shared" si="61"/>
        <v>3</v>
      </c>
      <c r="AU36" s="16">
        <f t="shared" si="62"/>
        <v>4</v>
      </c>
      <c r="AV36" s="16">
        <f t="shared" si="63"/>
        <v>4</v>
      </c>
      <c r="AW36" s="16">
        <f t="shared" si="64"/>
        <v>4</v>
      </c>
      <c r="AX36" s="16">
        <f t="shared" si="65"/>
        <v>4</v>
      </c>
      <c r="AY36" s="16">
        <f t="shared" si="66"/>
        <v>2</v>
      </c>
      <c r="AZ36" s="16">
        <f t="shared" si="67"/>
        <v>0</v>
      </c>
      <c r="BA36" s="17">
        <f t="shared" si="68"/>
        <v>5</v>
      </c>
    </row>
    <row r="37" spans="1:53" ht="15" thickBot="1" x14ac:dyDescent="0.35">
      <c r="A37" s="184" t="s">
        <v>41</v>
      </c>
      <c r="B37" s="160" t="s">
        <v>144</v>
      </c>
      <c r="C37" s="94">
        <v>43920</v>
      </c>
      <c r="D37" s="106">
        <v>5400</v>
      </c>
      <c r="E37" s="106">
        <v>2000</v>
      </c>
      <c r="F37" s="97">
        <v>0</v>
      </c>
      <c r="G37" s="116">
        <v>12500</v>
      </c>
      <c r="H37" s="106">
        <v>7680</v>
      </c>
      <c r="I37" s="97">
        <v>0</v>
      </c>
      <c r="J37" s="236">
        <v>8830</v>
      </c>
      <c r="K37" s="106">
        <v>5400</v>
      </c>
      <c r="L37" s="97">
        <v>0</v>
      </c>
      <c r="M37" s="106">
        <v>7124</v>
      </c>
      <c r="N37" s="106">
        <v>5148</v>
      </c>
      <c r="O37" s="97">
        <v>0</v>
      </c>
      <c r="P37" s="106">
        <v>5450</v>
      </c>
      <c r="Q37" s="106">
        <v>3500</v>
      </c>
      <c r="R37" s="97">
        <v>0</v>
      </c>
      <c r="S37" s="106">
        <v>2740</v>
      </c>
      <c r="T37" s="106">
        <v>1650</v>
      </c>
      <c r="U37" s="97">
        <v>0</v>
      </c>
      <c r="V37" s="106">
        <v>5660</v>
      </c>
      <c r="W37" s="106">
        <v>4530</v>
      </c>
      <c r="X37" s="97">
        <v>0</v>
      </c>
      <c r="Y37" s="106">
        <v>3330</v>
      </c>
      <c r="Z37" s="106">
        <v>690</v>
      </c>
      <c r="AA37" s="100">
        <v>0</v>
      </c>
      <c r="AB37" s="106">
        <v>0</v>
      </c>
      <c r="AC37" s="106">
        <v>0</v>
      </c>
      <c r="AD37" s="97">
        <v>30</v>
      </c>
      <c r="AE37" s="106">
        <v>5530</v>
      </c>
      <c r="AF37" s="106">
        <v>3900</v>
      </c>
      <c r="AG37" s="105">
        <v>0</v>
      </c>
      <c r="AH37" s="231">
        <f>+Janvier!AJ37</f>
        <v>2204.0109890109893</v>
      </c>
      <c r="AI37" s="231">
        <f>+Janvier!AK37</f>
        <v>6856.9230769230771</v>
      </c>
      <c r="AJ37" s="231">
        <f>+Janvier!AL37</f>
        <v>5142.6923076923085</v>
      </c>
      <c r="AK37" s="231">
        <f>+Janvier!AM37</f>
        <v>5142.6923076923085</v>
      </c>
      <c r="AL37" s="231">
        <f>+Janvier!AN37</f>
        <v>3116.7832167832171</v>
      </c>
      <c r="AM37" s="231">
        <f>+Janvier!AO37</f>
        <v>1928.5096153846155</v>
      </c>
      <c r="AN37" s="231">
        <f>+Janvier!AP37</f>
        <v>3857.0192307692309</v>
      </c>
      <c r="AO37" s="231">
        <f>+Janvier!AQ37</f>
        <v>1928.5096153846155</v>
      </c>
      <c r="AP37" s="231">
        <f>+Janvier!AR37</f>
        <v>1928.5096153846155</v>
      </c>
      <c r="AQ37" s="231">
        <f>+Janvier!AS37</f>
        <v>3428.4615384615386</v>
      </c>
      <c r="AR37" s="16">
        <f t="shared" si="59"/>
        <v>5</v>
      </c>
      <c r="AS37" s="16">
        <f t="shared" si="60"/>
        <v>6</v>
      </c>
      <c r="AT37" s="16">
        <f t="shared" si="61"/>
        <v>5</v>
      </c>
      <c r="AU37" s="16">
        <f t="shared" si="62"/>
        <v>5</v>
      </c>
      <c r="AV37" s="16">
        <f t="shared" si="63"/>
        <v>6</v>
      </c>
      <c r="AW37" s="16">
        <f t="shared" si="64"/>
        <v>4</v>
      </c>
      <c r="AX37" s="16">
        <f t="shared" si="65"/>
        <v>6</v>
      </c>
      <c r="AY37" s="16">
        <f t="shared" si="66"/>
        <v>2</v>
      </c>
      <c r="AZ37" s="16">
        <f t="shared" si="67"/>
        <v>0</v>
      </c>
      <c r="BA37" s="17">
        <f t="shared" si="68"/>
        <v>6</v>
      </c>
    </row>
    <row r="38" spans="1:53" ht="15" thickBot="1" x14ac:dyDescent="0.35">
      <c r="A38" s="184" t="s">
        <v>42</v>
      </c>
      <c r="B38" s="160" t="s">
        <v>144</v>
      </c>
      <c r="C38" s="94">
        <v>43920</v>
      </c>
      <c r="D38" s="106">
        <v>4800</v>
      </c>
      <c r="E38" s="106">
        <v>4800</v>
      </c>
      <c r="F38" s="97">
        <v>0</v>
      </c>
      <c r="G38" s="116">
        <v>26240</v>
      </c>
      <c r="H38" s="106">
        <v>15020</v>
      </c>
      <c r="I38" s="97">
        <v>0</v>
      </c>
      <c r="J38" s="236">
        <v>20690</v>
      </c>
      <c r="K38" s="106">
        <v>11690</v>
      </c>
      <c r="L38" s="97">
        <v>0</v>
      </c>
      <c r="M38" s="106">
        <v>20768</v>
      </c>
      <c r="N38" s="106">
        <v>11200</v>
      </c>
      <c r="O38" s="97">
        <v>0</v>
      </c>
      <c r="P38" s="106">
        <v>12200</v>
      </c>
      <c r="Q38" s="106">
        <v>6450</v>
      </c>
      <c r="R38" s="97">
        <v>0</v>
      </c>
      <c r="S38" s="106">
        <v>6180</v>
      </c>
      <c r="T38" s="106">
        <v>3910</v>
      </c>
      <c r="U38" s="97">
        <v>0</v>
      </c>
      <c r="V38" s="106">
        <v>13100</v>
      </c>
      <c r="W38" s="106">
        <v>8530</v>
      </c>
      <c r="X38" s="97">
        <v>0</v>
      </c>
      <c r="Y38" s="106">
        <v>4470</v>
      </c>
      <c r="Z38" s="106">
        <v>1010</v>
      </c>
      <c r="AA38" s="100">
        <v>0</v>
      </c>
      <c r="AB38" s="106">
        <v>0</v>
      </c>
      <c r="AC38" s="106">
        <v>0</v>
      </c>
      <c r="AD38" s="97">
        <v>31</v>
      </c>
      <c r="AE38" s="106">
        <v>12980</v>
      </c>
      <c r="AF38" s="106">
        <v>6960</v>
      </c>
      <c r="AG38" s="105">
        <v>0</v>
      </c>
      <c r="AH38" s="231">
        <f>+Janvier!AJ38</f>
        <v>4595.1923076923076</v>
      </c>
      <c r="AI38" s="231">
        <f>+Janvier!AK38</f>
        <v>14296.153846153846</v>
      </c>
      <c r="AJ38" s="231">
        <f>+Janvier!AL38</f>
        <v>10722.115384615387</v>
      </c>
      <c r="AK38" s="231">
        <f>+Janvier!AM38</f>
        <v>10722.115384615387</v>
      </c>
      <c r="AL38" s="231">
        <f>+Janvier!AN38</f>
        <v>6498.2517482517496</v>
      </c>
      <c r="AM38" s="231">
        <f>+Janvier!AO38</f>
        <v>4020.7932692307691</v>
      </c>
      <c r="AN38" s="231">
        <f>+Janvier!AP38</f>
        <v>8041.5865384615381</v>
      </c>
      <c r="AO38" s="231">
        <f>+Janvier!AQ38</f>
        <v>4020.7932692307691</v>
      </c>
      <c r="AP38" s="231">
        <f>+Janvier!AR38</f>
        <v>4020.7932692307691</v>
      </c>
      <c r="AQ38" s="231">
        <f>+Janvier!AS38</f>
        <v>7148.0769230769229</v>
      </c>
      <c r="AR38" s="16">
        <f t="shared" si="59"/>
        <v>5</v>
      </c>
      <c r="AS38" s="16">
        <f t="shared" si="60"/>
        <v>5</v>
      </c>
      <c r="AT38" s="16">
        <f t="shared" si="61"/>
        <v>5</v>
      </c>
      <c r="AU38" s="16">
        <f t="shared" si="62"/>
        <v>5</v>
      </c>
      <c r="AV38" s="16">
        <f t="shared" si="63"/>
        <v>5</v>
      </c>
      <c r="AW38" s="16">
        <f t="shared" si="64"/>
        <v>5</v>
      </c>
      <c r="AX38" s="16">
        <f t="shared" si="65"/>
        <v>5</v>
      </c>
      <c r="AY38" s="16">
        <f t="shared" si="66"/>
        <v>1</v>
      </c>
      <c r="AZ38" s="16">
        <f t="shared" si="67"/>
        <v>0</v>
      </c>
      <c r="BA38" s="17">
        <f t="shared" si="68"/>
        <v>5</v>
      </c>
    </row>
    <row r="39" spans="1:53" ht="15" thickBot="1" x14ac:dyDescent="0.35">
      <c r="A39" s="121" t="s">
        <v>43</v>
      </c>
      <c r="B39" s="160" t="s">
        <v>144</v>
      </c>
      <c r="C39" s="143">
        <v>43920</v>
      </c>
      <c r="D39" s="145">
        <v>2600</v>
      </c>
      <c r="E39" s="145">
        <v>1240</v>
      </c>
      <c r="F39" s="110">
        <v>0</v>
      </c>
      <c r="G39" s="147">
        <v>8000</v>
      </c>
      <c r="H39" s="145">
        <v>7460</v>
      </c>
      <c r="I39" s="110">
        <v>0</v>
      </c>
      <c r="J39" s="238">
        <v>6200</v>
      </c>
      <c r="K39" s="145">
        <v>3020</v>
      </c>
      <c r="L39" s="110">
        <v>0</v>
      </c>
      <c r="M39" s="145">
        <v>6000</v>
      </c>
      <c r="N39" s="145">
        <v>3884</v>
      </c>
      <c r="O39" s="110">
        <v>0</v>
      </c>
      <c r="P39" s="145">
        <v>4500</v>
      </c>
      <c r="Q39" s="145">
        <v>2400</v>
      </c>
      <c r="R39" s="110">
        <v>0</v>
      </c>
      <c r="S39" s="145">
        <v>1600</v>
      </c>
      <c r="T39" s="145">
        <v>1260</v>
      </c>
      <c r="U39" s="110">
        <v>0</v>
      </c>
      <c r="V39" s="145">
        <v>3000</v>
      </c>
      <c r="W39" s="145">
        <v>2790</v>
      </c>
      <c r="X39" s="110">
        <v>0</v>
      </c>
      <c r="Y39" s="145">
        <v>2500</v>
      </c>
      <c r="Z39" s="145">
        <v>2450</v>
      </c>
      <c r="AA39" s="162">
        <v>0</v>
      </c>
      <c r="AB39" s="145">
        <v>0</v>
      </c>
      <c r="AC39" s="145">
        <v>0</v>
      </c>
      <c r="AD39" s="110">
        <v>20</v>
      </c>
      <c r="AE39" s="145">
        <v>6400</v>
      </c>
      <c r="AF39" s="145">
        <v>5920</v>
      </c>
      <c r="AG39" s="112">
        <v>0</v>
      </c>
      <c r="AH39" s="231">
        <f>+Janvier!AJ39</f>
        <v>4254.2307692307695</v>
      </c>
      <c r="AI39" s="231">
        <f>+Janvier!AK39</f>
        <v>13235.384615384613</v>
      </c>
      <c r="AJ39" s="231">
        <f>+Janvier!AL39</f>
        <v>9926.538461538461</v>
      </c>
      <c r="AK39" s="231">
        <f>+Janvier!AM39</f>
        <v>9926.538461538461</v>
      </c>
      <c r="AL39" s="231">
        <f>+Janvier!AN39</f>
        <v>6016.0839160839159</v>
      </c>
      <c r="AM39" s="231">
        <f>+Janvier!AO39</f>
        <v>3722.4519230769233</v>
      </c>
      <c r="AN39" s="231">
        <f>+Janvier!AP39</f>
        <v>7444.9038461538466</v>
      </c>
      <c r="AO39" s="231">
        <f>+Janvier!AQ39</f>
        <v>3722.4519230769233</v>
      </c>
      <c r="AP39" s="231">
        <f>+Janvier!AR39</f>
        <v>3722.4519230769233</v>
      </c>
      <c r="AQ39" s="231">
        <f>+Janvier!AS39</f>
        <v>6617.6923076923067</v>
      </c>
      <c r="AR39" s="32">
        <f t="shared" si="59"/>
        <v>1</v>
      </c>
      <c r="AS39" s="32">
        <f t="shared" si="60"/>
        <v>3</v>
      </c>
      <c r="AT39" s="32">
        <f t="shared" si="61"/>
        <v>2</v>
      </c>
      <c r="AU39" s="32">
        <f t="shared" si="62"/>
        <v>2</v>
      </c>
      <c r="AV39" s="32">
        <f t="shared" si="63"/>
        <v>2</v>
      </c>
      <c r="AW39" s="32">
        <f t="shared" si="64"/>
        <v>2</v>
      </c>
      <c r="AX39" s="32">
        <f t="shared" si="65"/>
        <v>2</v>
      </c>
      <c r="AY39" s="32">
        <f t="shared" si="66"/>
        <v>3</v>
      </c>
      <c r="AZ39" s="32">
        <f t="shared" si="67"/>
        <v>0</v>
      </c>
      <c r="BA39" s="33">
        <f t="shared" si="68"/>
        <v>4</v>
      </c>
    </row>
    <row r="40" spans="1:53" ht="15.6" x14ac:dyDescent="0.3">
      <c r="A40" s="198" t="s">
        <v>88</v>
      </c>
      <c r="B40" s="160">
        <v>43922</v>
      </c>
      <c r="C40" s="160">
        <v>43952</v>
      </c>
      <c r="D40" s="122">
        <v>33000</v>
      </c>
      <c r="E40" s="123">
        <v>50000</v>
      </c>
      <c r="F40" s="124">
        <v>0</v>
      </c>
      <c r="G40" s="125">
        <v>110000</v>
      </c>
      <c r="H40" s="123">
        <v>210000</v>
      </c>
      <c r="I40" s="126">
        <v>0</v>
      </c>
      <c r="J40" s="125">
        <v>100000</v>
      </c>
      <c r="K40" s="123">
        <v>125000</v>
      </c>
      <c r="L40" s="124">
        <v>0</v>
      </c>
      <c r="M40" s="125">
        <v>77000</v>
      </c>
      <c r="N40" s="123">
        <v>120000</v>
      </c>
      <c r="O40" s="124">
        <v>0</v>
      </c>
      <c r="P40" s="125">
        <v>48000</v>
      </c>
      <c r="Q40" s="123">
        <v>39095</v>
      </c>
      <c r="R40" s="124">
        <v>0</v>
      </c>
      <c r="S40" s="125">
        <v>25000</v>
      </c>
      <c r="T40" s="123">
        <v>43000</v>
      </c>
      <c r="U40" s="124">
        <v>0</v>
      </c>
      <c r="V40" s="125">
        <v>55000</v>
      </c>
      <c r="W40" s="123">
        <v>105000</v>
      </c>
      <c r="X40" s="124">
        <v>0</v>
      </c>
      <c r="Y40" s="125">
        <v>72000</v>
      </c>
      <c r="Z40" s="123">
        <v>72000</v>
      </c>
      <c r="AA40" s="124">
        <v>30</v>
      </c>
      <c r="AB40" s="125">
        <v>69000</v>
      </c>
      <c r="AC40" s="123">
        <v>69000</v>
      </c>
      <c r="AD40" s="124">
        <v>30</v>
      </c>
      <c r="AE40" s="125">
        <v>33000</v>
      </c>
      <c r="AF40" s="123">
        <v>89000</v>
      </c>
      <c r="AG40" s="126">
        <v>0</v>
      </c>
      <c r="AH40" s="231">
        <f>+Janvier!AJ40</f>
        <v>69601.949999999983</v>
      </c>
      <c r="AI40" s="231">
        <f>+Janvier!AK40</f>
        <v>241304.71153846153</v>
      </c>
      <c r="AJ40" s="231">
        <f>+Janvier!AL40</f>
        <v>160708.93788461541</v>
      </c>
      <c r="AK40" s="231">
        <f>+Janvier!AM40</f>
        <v>160708.93788461541</v>
      </c>
      <c r="AL40" s="231">
        <f>+Janvier!AN40</f>
        <v>101347.97884615386</v>
      </c>
      <c r="AM40" s="231">
        <f>+Janvier!AO40</f>
        <v>60326.177884615383</v>
      </c>
      <c r="AN40" s="231">
        <f>+Janvier!AP40</f>
        <v>120652.35576923077</v>
      </c>
      <c r="AO40" s="231">
        <f>+Janvier!AQ40</f>
        <v>60326.177884615383</v>
      </c>
      <c r="AP40" s="231">
        <f>+Janvier!AR40</f>
        <v>60326.177884615383</v>
      </c>
      <c r="AQ40" s="231">
        <f>+Janvier!AS40</f>
        <v>108053.37692307694</v>
      </c>
      <c r="AR40" s="16">
        <f>ROUND(E40/(AH40/15),0)</f>
        <v>11</v>
      </c>
      <c r="AS40" s="16">
        <f t="shared" ref="AS40" si="69">ROUND(H40/(AI40/15),0)</f>
        <v>13</v>
      </c>
      <c r="AT40" s="16">
        <f t="shared" ref="AT40" si="70">ROUND(K40/(AJ40/15),0)</f>
        <v>12</v>
      </c>
      <c r="AU40" s="16">
        <f t="shared" ref="AU40" si="71">ROUND(N40/(AK40/15),0)</f>
        <v>11</v>
      </c>
      <c r="AV40" s="16">
        <f t="shared" ref="AV40" si="72">ROUND(Q40/(AL40/15),0)</f>
        <v>6</v>
      </c>
      <c r="AW40" s="16">
        <f t="shared" ref="AW40" si="73">ROUND(T40/(AM40/15),0)</f>
        <v>11</v>
      </c>
      <c r="AX40" s="16">
        <f t="shared" ref="AX40" si="74">ROUND(W40/(AN40/15),0)</f>
        <v>13</v>
      </c>
      <c r="AY40" s="16">
        <f t="shared" ref="AY40" si="75">ROUND(Z40/(AO40/15),0)</f>
        <v>18</v>
      </c>
      <c r="AZ40" s="16">
        <f t="shared" ref="AZ40" si="76">ROUND(AC40/(AP40/15),0)</f>
        <v>17</v>
      </c>
      <c r="BA40" s="17">
        <f t="shared" ref="BA40" si="77">ROUND(AF40/(AQ40/15),0)</f>
        <v>12</v>
      </c>
    </row>
    <row r="41" spans="1:53" ht="15.6" x14ac:dyDescent="0.3">
      <c r="A41" s="199" t="s">
        <v>44</v>
      </c>
      <c r="B41" s="94">
        <v>43924</v>
      </c>
      <c r="C41" s="94">
        <v>43950</v>
      </c>
      <c r="D41" s="107">
        <v>1240</v>
      </c>
      <c r="E41" s="96">
        <v>1780</v>
      </c>
      <c r="F41" s="97">
        <v>0</v>
      </c>
      <c r="G41" s="95">
        <v>3640</v>
      </c>
      <c r="H41" s="96">
        <v>5500</v>
      </c>
      <c r="I41" s="105">
        <v>0</v>
      </c>
      <c r="J41" s="95">
        <v>3200</v>
      </c>
      <c r="K41" s="96">
        <v>4150</v>
      </c>
      <c r="L41" s="97">
        <v>0</v>
      </c>
      <c r="M41" s="95">
        <v>3200</v>
      </c>
      <c r="N41" s="96">
        <v>4128</v>
      </c>
      <c r="O41" s="97">
        <v>0</v>
      </c>
      <c r="P41" s="95">
        <v>2050</v>
      </c>
      <c r="Q41" s="96">
        <v>2531</v>
      </c>
      <c r="R41" s="97">
        <v>0</v>
      </c>
      <c r="S41" s="95">
        <v>650</v>
      </c>
      <c r="T41" s="96">
        <v>1570</v>
      </c>
      <c r="U41" s="97">
        <v>0</v>
      </c>
      <c r="V41" s="95">
        <v>1650</v>
      </c>
      <c r="W41" s="96">
        <v>3010</v>
      </c>
      <c r="X41" s="97">
        <v>0</v>
      </c>
      <c r="Y41" s="95">
        <v>0</v>
      </c>
      <c r="Z41" s="96">
        <v>0</v>
      </c>
      <c r="AA41" s="97">
        <v>26</v>
      </c>
      <c r="AB41" s="95">
        <v>0</v>
      </c>
      <c r="AC41" s="96">
        <v>0</v>
      </c>
      <c r="AD41" s="97">
        <v>26</v>
      </c>
      <c r="AE41" s="95">
        <v>2750</v>
      </c>
      <c r="AF41" s="96">
        <v>2750</v>
      </c>
      <c r="AG41" s="105">
        <v>0</v>
      </c>
      <c r="AH41" s="231">
        <f>+Janvier!AJ41</f>
        <v>1769.7115384615383</v>
      </c>
      <c r="AI41" s="231">
        <f>+Janvier!AK41</f>
        <v>5505.7692307692305</v>
      </c>
      <c r="AJ41" s="231">
        <f>+Janvier!AL41</f>
        <v>4129.3269230769229</v>
      </c>
      <c r="AK41" s="231">
        <f>+Janvier!AM41</f>
        <v>4129.3269230769229</v>
      </c>
      <c r="AL41" s="231">
        <f>+Janvier!AN41</f>
        <v>2502.6223776223778</v>
      </c>
      <c r="AM41" s="231">
        <f>+Janvier!AO41</f>
        <v>1548.4975961538462</v>
      </c>
      <c r="AN41" s="231">
        <f>+Janvier!AP41</f>
        <v>3096.9951923076924</v>
      </c>
      <c r="AO41" s="231">
        <f>+Janvier!AQ41</f>
        <v>1548.4975961538462</v>
      </c>
      <c r="AP41" s="231">
        <f>+Janvier!AR41</f>
        <v>1548.4975961538462</v>
      </c>
      <c r="AQ41" s="231">
        <f>+Janvier!AS41</f>
        <v>2752.8846153846152</v>
      </c>
      <c r="AR41" s="16">
        <f t="shared" ref="AR41:AR53" si="78">ROUND(E41/(AH41/5),0)</f>
        <v>5</v>
      </c>
      <c r="AS41" s="16">
        <f t="shared" ref="AS41:AS53" si="79">ROUND(H41/(AI41/5),0)</f>
        <v>5</v>
      </c>
      <c r="AT41" s="16">
        <f t="shared" ref="AT41:AT53" si="80">ROUND(K41/(AJ41/5),0)</f>
        <v>5</v>
      </c>
      <c r="AU41" s="16">
        <f t="shared" ref="AU41:AU53" si="81">ROUND(N41/(AK41/5),0)</f>
        <v>5</v>
      </c>
      <c r="AV41" s="16">
        <f t="shared" ref="AV41:AV53" si="82">ROUND(Q41/(AL41/5),0)</f>
        <v>5</v>
      </c>
      <c r="AW41" s="16">
        <f t="shared" ref="AW41:AW53" si="83">ROUND(T41/(AM41/5),0)</f>
        <v>5</v>
      </c>
      <c r="AX41" s="16">
        <f t="shared" ref="AX41:AX53" si="84">ROUND(W41/(AN41/5),0)</f>
        <v>5</v>
      </c>
      <c r="AY41" s="16">
        <f t="shared" ref="AY41:AY53" si="85">ROUND(Z41/(AO41/5),0)</f>
        <v>0</v>
      </c>
      <c r="AZ41" s="16">
        <f t="shared" ref="AZ41:AZ53" si="86">ROUND(AC41/(AP41/5),0)</f>
        <v>0</v>
      </c>
      <c r="BA41" s="17">
        <f t="shared" ref="BA41:BA53" si="87">ROUND(AF41/(AQ41/5),0)</f>
        <v>5</v>
      </c>
    </row>
    <row r="42" spans="1:53" ht="15.6" x14ac:dyDescent="0.3">
      <c r="A42" s="199" t="s">
        <v>45</v>
      </c>
      <c r="B42" s="94">
        <v>43921</v>
      </c>
      <c r="C42" s="94">
        <v>43950</v>
      </c>
      <c r="D42" s="107">
        <v>400</v>
      </c>
      <c r="E42" s="96">
        <v>500</v>
      </c>
      <c r="F42" s="97">
        <v>0</v>
      </c>
      <c r="G42" s="95">
        <v>1400</v>
      </c>
      <c r="H42" s="96">
        <v>1560</v>
      </c>
      <c r="I42" s="105">
        <v>0</v>
      </c>
      <c r="J42" s="95">
        <v>1100</v>
      </c>
      <c r="K42" s="96">
        <v>1200</v>
      </c>
      <c r="L42" s="97">
        <v>0</v>
      </c>
      <c r="M42" s="95">
        <v>1050</v>
      </c>
      <c r="N42" s="96">
        <v>1164</v>
      </c>
      <c r="O42" s="97">
        <v>0</v>
      </c>
      <c r="P42" s="95">
        <v>600</v>
      </c>
      <c r="Q42" s="96">
        <v>704</v>
      </c>
      <c r="R42" s="97">
        <v>0</v>
      </c>
      <c r="S42" s="95">
        <v>350</v>
      </c>
      <c r="T42" s="96">
        <v>440</v>
      </c>
      <c r="U42" s="97">
        <v>0</v>
      </c>
      <c r="V42" s="95">
        <v>450</v>
      </c>
      <c r="W42" s="96">
        <v>870</v>
      </c>
      <c r="X42" s="97">
        <v>0</v>
      </c>
      <c r="Y42" s="95">
        <v>0</v>
      </c>
      <c r="Z42" s="96">
        <v>0</v>
      </c>
      <c r="AA42" s="97">
        <v>29</v>
      </c>
      <c r="AB42" s="95">
        <v>0</v>
      </c>
      <c r="AC42" s="96">
        <v>0</v>
      </c>
      <c r="AD42" s="97">
        <v>29</v>
      </c>
      <c r="AE42" s="95">
        <v>630</v>
      </c>
      <c r="AF42" s="96">
        <v>780</v>
      </c>
      <c r="AG42" s="105">
        <v>0</v>
      </c>
      <c r="AH42" s="231">
        <f>+Janvier!AJ42</f>
        <v>499.20329670329681</v>
      </c>
      <c r="AI42" s="231">
        <f>+Janvier!AK42</f>
        <v>1553.0769230769233</v>
      </c>
      <c r="AJ42" s="231">
        <f>+Janvier!AL42</f>
        <v>1164.8076923076926</v>
      </c>
      <c r="AK42" s="231">
        <f>+Janvier!AM42</f>
        <v>1164.8076923076926</v>
      </c>
      <c r="AL42" s="231">
        <f>+Janvier!AN42</f>
        <v>705.944055944056</v>
      </c>
      <c r="AM42" s="231">
        <f>+Janvier!AO42</f>
        <v>436.80288461538458</v>
      </c>
      <c r="AN42" s="231">
        <f>+Janvier!AP42</f>
        <v>873.60576923076917</v>
      </c>
      <c r="AO42" s="231">
        <f>+Janvier!AQ42</f>
        <v>436.80288461538458</v>
      </c>
      <c r="AP42" s="231">
        <f>+Janvier!AR42</f>
        <v>436.80288461538458</v>
      </c>
      <c r="AQ42" s="231">
        <f>+Janvier!AS42</f>
        <v>776.53846153846166</v>
      </c>
      <c r="AR42" s="16">
        <f t="shared" si="78"/>
        <v>5</v>
      </c>
      <c r="AS42" s="16">
        <f t="shared" si="79"/>
        <v>5</v>
      </c>
      <c r="AT42" s="16">
        <f t="shared" si="80"/>
        <v>5</v>
      </c>
      <c r="AU42" s="16">
        <f t="shared" si="81"/>
        <v>5</v>
      </c>
      <c r="AV42" s="16">
        <f t="shared" si="82"/>
        <v>5</v>
      </c>
      <c r="AW42" s="16">
        <f t="shared" si="83"/>
        <v>5</v>
      </c>
      <c r="AX42" s="16">
        <f t="shared" si="84"/>
        <v>5</v>
      </c>
      <c r="AY42" s="16">
        <f t="shared" si="85"/>
        <v>0</v>
      </c>
      <c r="AZ42" s="16">
        <f t="shared" si="86"/>
        <v>0</v>
      </c>
      <c r="BA42" s="17">
        <f t="shared" si="87"/>
        <v>5</v>
      </c>
    </row>
    <row r="43" spans="1:53" ht="15.6" x14ac:dyDescent="0.3">
      <c r="A43" s="199" t="s">
        <v>46</v>
      </c>
      <c r="B43" s="94">
        <v>43925</v>
      </c>
      <c r="C43" s="94">
        <v>43952</v>
      </c>
      <c r="D43" s="107">
        <v>2660</v>
      </c>
      <c r="E43" s="96">
        <v>3080</v>
      </c>
      <c r="F43" s="97">
        <v>0</v>
      </c>
      <c r="G43" s="95">
        <v>8760</v>
      </c>
      <c r="H43" s="96">
        <v>9580</v>
      </c>
      <c r="I43" s="105">
        <v>0</v>
      </c>
      <c r="J43" s="95">
        <v>6720</v>
      </c>
      <c r="K43" s="96">
        <v>7180</v>
      </c>
      <c r="L43" s="97">
        <v>0</v>
      </c>
      <c r="M43" s="95">
        <v>6808</v>
      </c>
      <c r="N43" s="96">
        <v>7176</v>
      </c>
      <c r="O43" s="97">
        <v>0</v>
      </c>
      <c r="P43" s="95">
        <v>4125</v>
      </c>
      <c r="Q43" s="96">
        <v>4350</v>
      </c>
      <c r="R43" s="97">
        <v>0</v>
      </c>
      <c r="S43" s="95">
        <v>2220</v>
      </c>
      <c r="T43" s="96">
        <v>2700</v>
      </c>
      <c r="U43" s="97">
        <v>0</v>
      </c>
      <c r="V43" s="95">
        <v>4600</v>
      </c>
      <c r="W43" s="96">
        <v>5380</v>
      </c>
      <c r="X43" s="97">
        <v>0</v>
      </c>
      <c r="Y43" s="95">
        <v>0</v>
      </c>
      <c r="Z43" s="96">
        <v>0</v>
      </c>
      <c r="AA43" s="97">
        <v>28</v>
      </c>
      <c r="AB43" s="95">
        <v>0</v>
      </c>
      <c r="AC43" s="96">
        <v>0</v>
      </c>
      <c r="AD43" s="97">
        <v>28</v>
      </c>
      <c r="AE43" s="95">
        <v>4470</v>
      </c>
      <c r="AF43" s="96">
        <v>4780</v>
      </c>
      <c r="AG43" s="105">
        <v>0</v>
      </c>
      <c r="AH43" s="231">
        <f>+Janvier!AJ43</f>
        <v>3075.0824175824173</v>
      </c>
      <c r="AI43" s="231">
        <f>+Janvier!AK43</f>
        <v>9566.923076923078</v>
      </c>
      <c r="AJ43" s="231">
        <f>+Janvier!AL43</f>
        <v>7175.1923076923067</v>
      </c>
      <c r="AK43" s="231">
        <f>+Janvier!AM43</f>
        <v>7175.1923076923067</v>
      </c>
      <c r="AL43" s="231">
        <f>+Janvier!AN43</f>
        <v>4348.6013986013986</v>
      </c>
      <c r="AM43" s="231">
        <f>+Janvier!AO43</f>
        <v>2690.6971153846152</v>
      </c>
      <c r="AN43" s="231">
        <f>+Janvier!AP43</f>
        <v>5381.3942307692305</v>
      </c>
      <c r="AO43" s="231">
        <f>+Janvier!AQ43</f>
        <v>2690.6971153846152</v>
      </c>
      <c r="AP43" s="231">
        <f>+Janvier!AR43</f>
        <v>2690.6971153846152</v>
      </c>
      <c r="AQ43" s="231">
        <f>+Janvier!AS43</f>
        <v>4783.461538461539</v>
      </c>
      <c r="AR43" s="16">
        <f t="shared" si="78"/>
        <v>5</v>
      </c>
      <c r="AS43" s="16">
        <f t="shared" si="79"/>
        <v>5</v>
      </c>
      <c r="AT43" s="16">
        <f t="shared" si="80"/>
        <v>5</v>
      </c>
      <c r="AU43" s="16">
        <f t="shared" si="81"/>
        <v>5</v>
      </c>
      <c r="AV43" s="16">
        <f t="shared" si="82"/>
        <v>5</v>
      </c>
      <c r="AW43" s="16">
        <f t="shared" si="83"/>
        <v>5</v>
      </c>
      <c r="AX43" s="16">
        <f t="shared" si="84"/>
        <v>5</v>
      </c>
      <c r="AY43" s="16">
        <f t="shared" si="85"/>
        <v>0</v>
      </c>
      <c r="AZ43" s="16">
        <f t="shared" si="86"/>
        <v>0</v>
      </c>
      <c r="BA43" s="17">
        <f t="shared" si="87"/>
        <v>5</v>
      </c>
    </row>
    <row r="44" spans="1:53" ht="15.6" x14ac:dyDescent="0.3">
      <c r="A44" s="199" t="s">
        <v>47</v>
      </c>
      <c r="B44" s="94">
        <v>43918</v>
      </c>
      <c r="C44" s="94">
        <v>43944</v>
      </c>
      <c r="D44" s="107">
        <v>2100</v>
      </c>
      <c r="E44" s="96">
        <v>2320</v>
      </c>
      <c r="F44" s="97">
        <v>0</v>
      </c>
      <c r="G44" s="95">
        <v>5560</v>
      </c>
      <c r="H44" s="96">
        <v>7230</v>
      </c>
      <c r="I44" s="105">
        <v>0</v>
      </c>
      <c r="J44" s="95">
        <v>4700</v>
      </c>
      <c r="K44" s="96">
        <v>5420</v>
      </c>
      <c r="L44" s="97">
        <v>0</v>
      </c>
      <c r="M44" s="95">
        <v>4744</v>
      </c>
      <c r="N44" s="96">
        <v>5424</v>
      </c>
      <c r="O44" s="97">
        <v>0</v>
      </c>
      <c r="P44" s="95">
        <v>3200</v>
      </c>
      <c r="Q44" s="96">
        <v>3287</v>
      </c>
      <c r="R44" s="97">
        <v>0</v>
      </c>
      <c r="S44" s="95">
        <v>1800</v>
      </c>
      <c r="T44" s="96">
        <v>2030</v>
      </c>
      <c r="U44" s="97">
        <v>0</v>
      </c>
      <c r="V44" s="95">
        <v>3650</v>
      </c>
      <c r="W44" s="96">
        <v>4070</v>
      </c>
      <c r="X44" s="97">
        <v>0</v>
      </c>
      <c r="Y44" s="95">
        <v>0</v>
      </c>
      <c r="Z44" s="96">
        <v>0</v>
      </c>
      <c r="AA44" s="97">
        <v>27</v>
      </c>
      <c r="AB44" s="95">
        <v>0</v>
      </c>
      <c r="AC44" s="96">
        <v>0</v>
      </c>
      <c r="AD44" s="97">
        <v>27</v>
      </c>
      <c r="AE44" s="95">
        <v>3500</v>
      </c>
      <c r="AF44" s="96">
        <v>3620</v>
      </c>
      <c r="AG44" s="105">
        <v>0</v>
      </c>
      <c r="AH44" s="231">
        <f>+Janvier!AJ44</f>
        <v>2324.2994505494512</v>
      </c>
      <c r="AI44" s="231">
        <f>+Janvier!AK44</f>
        <v>7231.1538461538476</v>
      </c>
      <c r="AJ44" s="231">
        <f>+Janvier!AL44</f>
        <v>5423.3653846153857</v>
      </c>
      <c r="AK44" s="231">
        <f>+Janvier!AM44</f>
        <v>5423.3653846153857</v>
      </c>
      <c r="AL44" s="231">
        <f>+Janvier!AN44</f>
        <v>3286.8881118881118</v>
      </c>
      <c r="AM44" s="231">
        <f>+Janvier!AO44</f>
        <v>2033.7620192307693</v>
      </c>
      <c r="AN44" s="231">
        <f>+Janvier!AP44</f>
        <v>4067.5240384615386</v>
      </c>
      <c r="AO44" s="231">
        <f>+Janvier!AQ44</f>
        <v>2033.7620192307693</v>
      </c>
      <c r="AP44" s="231">
        <f>+Janvier!AR44</f>
        <v>2033.7620192307693</v>
      </c>
      <c r="AQ44" s="231">
        <f>+Janvier!AS44</f>
        <v>3615.5769230769238</v>
      </c>
      <c r="AR44" s="16">
        <f t="shared" si="78"/>
        <v>5</v>
      </c>
      <c r="AS44" s="16">
        <f t="shared" si="79"/>
        <v>5</v>
      </c>
      <c r="AT44" s="16">
        <f t="shared" si="80"/>
        <v>5</v>
      </c>
      <c r="AU44" s="16">
        <f t="shared" si="81"/>
        <v>5</v>
      </c>
      <c r="AV44" s="16">
        <f t="shared" si="82"/>
        <v>5</v>
      </c>
      <c r="AW44" s="16">
        <f t="shared" si="83"/>
        <v>5</v>
      </c>
      <c r="AX44" s="16">
        <f t="shared" si="84"/>
        <v>5</v>
      </c>
      <c r="AY44" s="16">
        <f t="shared" si="85"/>
        <v>0</v>
      </c>
      <c r="AZ44" s="16">
        <f t="shared" si="86"/>
        <v>0</v>
      </c>
      <c r="BA44" s="17">
        <f t="shared" si="87"/>
        <v>5</v>
      </c>
    </row>
    <row r="45" spans="1:53" ht="15.6" x14ac:dyDescent="0.3">
      <c r="A45" s="199" t="s">
        <v>48</v>
      </c>
      <c r="B45" s="94">
        <v>43918</v>
      </c>
      <c r="C45" s="94">
        <v>43946</v>
      </c>
      <c r="D45" s="107">
        <v>2100</v>
      </c>
      <c r="E45" s="96">
        <v>2320</v>
      </c>
      <c r="F45" s="97">
        <v>0</v>
      </c>
      <c r="G45" s="95">
        <v>5700</v>
      </c>
      <c r="H45" s="96">
        <v>7240</v>
      </c>
      <c r="I45" s="105">
        <v>0</v>
      </c>
      <c r="J45" s="95">
        <v>4350</v>
      </c>
      <c r="K45" s="96">
        <v>5430</v>
      </c>
      <c r="L45" s="97">
        <v>0</v>
      </c>
      <c r="M45" s="95">
        <v>4400</v>
      </c>
      <c r="N45" s="96">
        <v>5432</v>
      </c>
      <c r="O45" s="97">
        <v>0</v>
      </c>
      <c r="P45" s="95">
        <v>2950</v>
      </c>
      <c r="Q45" s="96">
        <v>3291</v>
      </c>
      <c r="R45" s="97">
        <v>0</v>
      </c>
      <c r="S45" s="95">
        <v>1600</v>
      </c>
      <c r="T45" s="96">
        <v>2040</v>
      </c>
      <c r="U45" s="97">
        <v>0</v>
      </c>
      <c r="V45" s="95">
        <v>2700</v>
      </c>
      <c r="W45" s="96">
        <v>4070</v>
      </c>
      <c r="X45" s="97">
        <v>0</v>
      </c>
      <c r="Y45" s="95">
        <v>0</v>
      </c>
      <c r="Z45" s="96">
        <v>0</v>
      </c>
      <c r="AA45" s="97">
        <v>28</v>
      </c>
      <c r="AB45" s="95">
        <v>0</v>
      </c>
      <c r="AC45" s="96">
        <v>0</v>
      </c>
      <c r="AD45" s="97">
        <v>28</v>
      </c>
      <c r="AE45" s="95">
        <v>2600</v>
      </c>
      <c r="AF45" s="96">
        <v>3620</v>
      </c>
      <c r="AG45" s="105">
        <v>0</v>
      </c>
      <c r="AH45" s="231">
        <f>+Janvier!AJ45</f>
        <v>2327.5137362637361</v>
      </c>
      <c r="AI45" s="231">
        <f>+Janvier!AK45</f>
        <v>7241.1538461538466</v>
      </c>
      <c r="AJ45" s="231">
        <f>+Janvier!AL45</f>
        <v>5430.8653846153829</v>
      </c>
      <c r="AK45" s="231">
        <f>+Janvier!AM45</f>
        <v>5430.8653846153829</v>
      </c>
      <c r="AL45" s="231">
        <f>+Janvier!AN45</f>
        <v>3291.4335664335663</v>
      </c>
      <c r="AM45" s="231">
        <f>+Janvier!AO45</f>
        <v>2036.5745192307693</v>
      </c>
      <c r="AN45" s="231">
        <f>+Janvier!AP45</f>
        <v>4073.1490384615386</v>
      </c>
      <c r="AO45" s="231">
        <f>+Janvier!AQ45</f>
        <v>2036.5745192307693</v>
      </c>
      <c r="AP45" s="231">
        <f>+Janvier!AR45</f>
        <v>2036.5745192307693</v>
      </c>
      <c r="AQ45" s="231">
        <f>+Janvier!AS45</f>
        <v>3620.5769230769233</v>
      </c>
      <c r="AR45" s="16">
        <f t="shared" si="78"/>
        <v>5</v>
      </c>
      <c r="AS45" s="16">
        <f t="shared" si="79"/>
        <v>5</v>
      </c>
      <c r="AT45" s="16">
        <f t="shared" si="80"/>
        <v>5</v>
      </c>
      <c r="AU45" s="16">
        <f t="shared" si="81"/>
        <v>5</v>
      </c>
      <c r="AV45" s="16">
        <f t="shared" si="82"/>
        <v>5</v>
      </c>
      <c r="AW45" s="16">
        <f t="shared" si="83"/>
        <v>5</v>
      </c>
      <c r="AX45" s="16">
        <f t="shared" si="84"/>
        <v>5</v>
      </c>
      <c r="AY45" s="16">
        <f t="shared" si="85"/>
        <v>0</v>
      </c>
      <c r="AZ45" s="16">
        <f t="shared" si="86"/>
        <v>0</v>
      </c>
      <c r="BA45" s="17">
        <f t="shared" si="87"/>
        <v>5</v>
      </c>
    </row>
    <row r="46" spans="1:53" ht="15.6" x14ac:dyDescent="0.3">
      <c r="A46" s="199" t="s">
        <v>49</v>
      </c>
      <c r="B46" s="94">
        <v>43920</v>
      </c>
      <c r="C46" s="94">
        <v>43945</v>
      </c>
      <c r="D46" s="107">
        <v>1820</v>
      </c>
      <c r="E46" s="96">
        <v>2160</v>
      </c>
      <c r="F46" s="97">
        <v>0</v>
      </c>
      <c r="G46" s="95">
        <v>4800</v>
      </c>
      <c r="H46" s="96">
        <v>6760</v>
      </c>
      <c r="I46" s="105">
        <v>0</v>
      </c>
      <c r="J46" s="95">
        <v>3430</v>
      </c>
      <c r="K46" s="96">
        <v>5040</v>
      </c>
      <c r="L46" s="97">
        <v>0</v>
      </c>
      <c r="M46" s="95">
        <v>3700</v>
      </c>
      <c r="N46" s="96">
        <v>5040</v>
      </c>
      <c r="O46" s="97">
        <v>0</v>
      </c>
      <c r="P46" s="95">
        <v>2720</v>
      </c>
      <c r="Q46" s="96">
        <v>3055</v>
      </c>
      <c r="R46" s="97">
        <v>0</v>
      </c>
      <c r="S46" s="95">
        <v>1500</v>
      </c>
      <c r="T46" s="96">
        <v>1890</v>
      </c>
      <c r="U46" s="97">
        <v>0</v>
      </c>
      <c r="V46" s="95">
        <v>1000</v>
      </c>
      <c r="W46" s="96">
        <v>3780</v>
      </c>
      <c r="X46" s="97">
        <v>0</v>
      </c>
      <c r="Y46" s="95">
        <v>0</v>
      </c>
      <c r="Z46" s="96">
        <v>0</v>
      </c>
      <c r="AA46" s="97">
        <v>25</v>
      </c>
      <c r="AB46" s="95">
        <v>0</v>
      </c>
      <c r="AC46" s="96">
        <v>0</v>
      </c>
      <c r="AD46" s="97">
        <v>25</v>
      </c>
      <c r="AE46" s="95">
        <v>1850</v>
      </c>
      <c r="AF46" s="96">
        <v>3360</v>
      </c>
      <c r="AG46" s="105">
        <v>0</v>
      </c>
      <c r="AH46" s="231">
        <f>+Janvier!AJ46</f>
        <v>2160.3708791208792</v>
      </c>
      <c r="AI46" s="231">
        <f>+Janvier!AK46</f>
        <v>6721.1538461538466</v>
      </c>
      <c r="AJ46" s="231">
        <f>+Janvier!AL46</f>
        <v>5040.8653846153848</v>
      </c>
      <c r="AK46" s="231">
        <f>+Janvier!AM46</f>
        <v>5040.8653846153848</v>
      </c>
      <c r="AL46" s="231">
        <f>+Janvier!AN46</f>
        <v>3055.0699300699303</v>
      </c>
      <c r="AM46" s="231">
        <f>+Janvier!AO46</f>
        <v>1890.3245192307693</v>
      </c>
      <c r="AN46" s="231">
        <f>+Janvier!AP46</f>
        <v>3780.6490384615386</v>
      </c>
      <c r="AO46" s="231">
        <f>+Janvier!AQ46</f>
        <v>1890.3245192307693</v>
      </c>
      <c r="AP46" s="231">
        <f>+Janvier!AR46</f>
        <v>1890.3245192307693</v>
      </c>
      <c r="AQ46" s="231">
        <f>+Janvier!AS46</f>
        <v>3360.5769230769233</v>
      </c>
      <c r="AR46" s="16">
        <f t="shared" si="78"/>
        <v>5</v>
      </c>
      <c r="AS46" s="16">
        <f t="shared" si="79"/>
        <v>5</v>
      </c>
      <c r="AT46" s="16">
        <f t="shared" si="80"/>
        <v>5</v>
      </c>
      <c r="AU46" s="16">
        <f t="shared" si="81"/>
        <v>5</v>
      </c>
      <c r="AV46" s="16">
        <f t="shared" si="82"/>
        <v>5</v>
      </c>
      <c r="AW46" s="16">
        <f t="shared" si="83"/>
        <v>5</v>
      </c>
      <c r="AX46" s="16">
        <f t="shared" si="84"/>
        <v>5</v>
      </c>
      <c r="AY46" s="16">
        <f t="shared" si="85"/>
        <v>0</v>
      </c>
      <c r="AZ46" s="16">
        <f t="shared" si="86"/>
        <v>0</v>
      </c>
      <c r="BA46" s="17">
        <f t="shared" si="87"/>
        <v>5</v>
      </c>
    </row>
    <row r="47" spans="1:53" ht="15.6" x14ac:dyDescent="0.3">
      <c r="A47" s="199" t="s">
        <v>50</v>
      </c>
      <c r="B47" s="94">
        <v>43920</v>
      </c>
      <c r="C47" s="94">
        <v>43949</v>
      </c>
      <c r="D47" s="107">
        <v>3740</v>
      </c>
      <c r="E47" s="96">
        <v>3760</v>
      </c>
      <c r="F47" s="97">
        <v>0</v>
      </c>
      <c r="G47" s="95">
        <v>11520</v>
      </c>
      <c r="H47" s="96">
        <v>11720</v>
      </c>
      <c r="I47" s="105">
        <v>0</v>
      </c>
      <c r="J47" s="95">
        <v>8780</v>
      </c>
      <c r="K47" s="96">
        <v>8790</v>
      </c>
      <c r="L47" s="97">
        <v>0</v>
      </c>
      <c r="M47" s="95">
        <v>8432</v>
      </c>
      <c r="N47" s="96">
        <v>8788</v>
      </c>
      <c r="O47" s="97">
        <v>0</v>
      </c>
      <c r="P47" s="95">
        <v>5170</v>
      </c>
      <c r="Q47" s="96">
        <v>5327</v>
      </c>
      <c r="R47" s="97">
        <v>0</v>
      </c>
      <c r="S47" s="95">
        <v>2970</v>
      </c>
      <c r="T47" s="96">
        <v>3300</v>
      </c>
      <c r="U47" s="97">
        <v>0</v>
      </c>
      <c r="V47" s="95">
        <v>5500</v>
      </c>
      <c r="W47" s="96">
        <v>6600</v>
      </c>
      <c r="X47" s="97">
        <v>0</v>
      </c>
      <c r="Y47" s="95">
        <v>0</v>
      </c>
      <c r="Z47" s="96">
        <v>0</v>
      </c>
      <c r="AA47" s="97">
        <v>28</v>
      </c>
      <c r="AB47" s="95">
        <v>0</v>
      </c>
      <c r="AC47" s="96">
        <v>0</v>
      </c>
      <c r="AD47" s="97">
        <v>28</v>
      </c>
      <c r="AE47" s="95">
        <v>5710</v>
      </c>
      <c r="AF47" s="96">
        <v>5860</v>
      </c>
      <c r="AG47" s="105">
        <v>0</v>
      </c>
      <c r="AH47" s="231">
        <f>+Janvier!AJ47</f>
        <v>3766.7719780219786</v>
      </c>
      <c r="AI47" s="231">
        <f>+Janvier!AK47</f>
        <v>11718.846153846154</v>
      </c>
      <c r="AJ47" s="231">
        <f>+Janvier!AL47</f>
        <v>8789.1346153846171</v>
      </c>
      <c r="AK47" s="231">
        <f>+Janvier!AM47</f>
        <v>8789.1346153846171</v>
      </c>
      <c r="AL47" s="231">
        <f>+Janvier!AN47</f>
        <v>5326.7482517482513</v>
      </c>
      <c r="AM47" s="231">
        <f>+Janvier!AO47</f>
        <v>3295.9254807692309</v>
      </c>
      <c r="AN47" s="231">
        <f>+Janvier!AP47</f>
        <v>6591.8509615384619</v>
      </c>
      <c r="AO47" s="231">
        <f>+Janvier!AQ47</f>
        <v>3295.9254807692309</v>
      </c>
      <c r="AP47" s="231">
        <f>+Janvier!AR47</f>
        <v>3295.9254807692309</v>
      </c>
      <c r="AQ47" s="231">
        <f>+Janvier!AS47</f>
        <v>5859.4230769230771</v>
      </c>
      <c r="AR47" s="16">
        <f t="shared" si="78"/>
        <v>5</v>
      </c>
      <c r="AS47" s="16">
        <f t="shared" si="79"/>
        <v>5</v>
      </c>
      <c r="AT47" s="16">
        <f t="shared" si="80"/>
        <v>5</v>
      </c>
      <c r="AU47" s="16">
        <f t="shared" si="81"/>
        <v>5</v>
      </c>
      <c r="AV47" s="16">
        <f t="shared" si="82"/>
        <v>5</v>
      </c>
      <c r="AW47" s="16">
        <f t="shared" si="83"/>
        <v>5</v>
      </c>
      <c r="AX47" s="16">
        <f t="shared" si="84"/>
        <v>5</v>
      </c>
      <c r="AY47" s="16">
        <f t="shared" si="85"/>
        <v>0</v>
      </c>
      <c r="AZ47" s="16">
        <f t="shared" si="86"/>
        <v>0</v>
      </c>
      <c r="BA47" s="17">
        <f t="shared" si="87"/>
        <v>5</v>
      </c>
    </row>
    <row r="48" spans="1:53" ht="15.6" x14ac:dyDescent="0.3">
      <c r="A48" s="199" t="s">
        <v>56</v>
      </c>
      <c r="B48" s="94">
        <v>43925</v>
      </c>
      <c r="C48" s="94">
        <v>43949</v>
      </c>
      <c r="D48" s="107">
        <v>1100</v>
      </c>
      <c r="E48" s="96">
        <v>1600</v>
      </c>
      <c r="F48" s="97">
        <v>0</v>
      </c>
      <c r="G48" s="95">
        <v>3300</v>
      </c>
      <c r="H48" s="96">
        <v>5000</v>
      </c>
      <c r="I48" s="105">
        <v>0</v>
      </c>
      <c r="J48" s="95">
        <v>2450</v>
      </c>
      <c r="K48" s="96">
        <v>3740</v>
      </c>
      <c r="L48" s="97">
        <v>0</v>
      </c>
      <c r="M48" s="95">
        <v>2448</v>
      </c>
      <c r="N48" s="96">
        <v>3744</v>
      </c>
      <c r="O48" s="97">
        <v>0</v>
      </c>
      <c r="P48" s="95">
        <v>1500</v>
      </c>
      <c r="Q48" s="96">
        <v>2269</v>
      </c>
      <c r="R48" s="97">
        <v>0</v>
      </c>
      <c r="S48" s="95">
        <v>860</v>
      </c>
      <c r="T48" s="96">
        <v>1400</v>
      </c>
      <c r="U48" s="97">
        <v>0</v>
      </c>
      <c r="V48" s="95">
        <v>1300</v>
      </c>
      <c r="W48" s="96">
        <v>2810</v>
      </c>
      <c r="X48" s="97">
        <v>0</v>
      </c>
      <c r="Y48" s="95">
        <v>0</v>
      </c>
      <c r="Z48" s="96">
        <v>0</v>
      </c>
      <c r="AA48" s="97">
        <v>25</v>
      </c>
      <c r="AB48" s="95">
        <v>0</v>
      </c>
      <c r="AC48" s="96">
        <v>0</v>
      </c>
      <c r="AD48" s="97">
        <v>25</v>
      </c>
      <c r="AE48" s="95">
        <v>1100</v>
      </c>
      <c r="AF48" s="96">
        <v>2500</v>
      </c>
      <c r="AG48" s="105">
        <v>0</v>
      </c>
      <c r="AH48" s="231">
        <f>+Janvier!AJ48</f>
        <v>1604.6703296703297</v>
      </c>
      <c r="AI48" s="231">
        <f>+Janvier!AK48</f>
        <v>4992.3076923076924</v>
      </c>
      <c r="AJ48" s="231">
        <f>+Janvier!AL48</f>
        <v>3744.2307692307691</v>
      </c>
      <c r="AK48" s="231">
        <f>+Janvier!AM48</f>
        <v>3744.2307692307691</v>
      </c>
      <c r="AL48" s="231">
        <f>+Janvier!AN48</f>
        <v>2269.2307692307695</v>
      </c>
      <c r="AM48" s="231">
        <f>+Janvier!AO48</f>
        <v>1404.0865384615383</v>
      </c>
      <c r="AN48" s="231">
        <f>+Janvier!AP48</f>
        <v>2808.1730769230767</v>
      </c>
      <c r="AO48" s="231">
        <f>+Janvier!AQ48</f>
        <v>1404.0865384615383</v>
      </c>
      <c r="AP48" s="231">
        <f>+Janvier!AR48</f>
        <v>1404.0865384615383</v>
      </c>
      <c r="AQ48" s="231">
        <f>+Janvier!AS48</f>
        <v>2496.1538461538462</v>
      </c>
      <c r="AR48" s="16">
        <f t="shared" si="78"/>
        <v>5</v>
      </c>
      <c r="AS48" s="16">
        <f t="shared" si="79"/>
        <v>5</v>
      </c>
      <c r="AT48" s="16">
        <f t="shared" si="80"/>
        <v>5</v>
      </c>
      <c r="AU48" s="16">
        <f t="shared" si="81"/>
        <v>5</v>
      </c>
      <c r="AV48" s="16">
        <f t="shared" si="82"/>
        <v>5</v>
      </c>
      <c r="AW48" s="16">
        <f t="shared" si="83"/>
        <v>5</v>
      </c>
      <c r="AX48" s="16">
        <f t="shared" si="84"/>
        <v>5</v>
      </c>
      <c r="AY48" s="16">
        <f t="shared" si="85"/>
        <v>0</v>
      </c>
      <c r="AZ48" s="16">
        <f t="shared" si="86"/>
        <v>0</v>
      </c>
      <c r="BA48" s="17">
        <f t="shared" si="87"/>
        <v>5</v>
      </c>
    </row>
    <row r="49" spans="1:53" ht="15.6" x14ac:dyDescent="0.3">
      <c r="A49" s="199" t="s">
        <v>51</v>
      </c>
      <c r="B49" s="94">
        <v>43917</v>
      </c>
      <c r="C49" s="94">
        <v>43948</v>
      </c>
      <c r="D49" s="107">
        <v>1040</v>
      </c>
      <c r="E49" s="96">
        <v>1040</v>
      </c>
      <c r="F49" s="97">
        <v>0</v>
      </c>
      <c r="G49" s="95">
        <v>1620</v>
      </c>
      <c r="H49" s="96">
        <v>3200</v>
      </c>
      <c r="I49" s="105">
        <v>0</v>
      </c>
      <c r="J49" s="95">
        <v>1260</v>
      </c>
      <c r="K49" s="96">
        <v>2410</v>
      </c>
      <c r="L49" s="97">
        <v>0</v>
      </c>
      <c r="M49" s="95">
        <v>860</v>
      </c>
      <c r="N49" s="96">
        <v>2408</v>
      </c>
      <c r="O49" s="97">
        <v>0</v>
      </c>
      <c r="P49" s="95">
        <v>1400</v>
      </c>
      <c r="Q49" s="96">
        <v>1470</v>
      </c>
      <c r="R49" s="97">
        <v>0</v>
      </c>
      <c r="S49" s="95">
        <v>520</v>
      </c>
      <c r="T49" s="96">
        <v>900</v>
      </c>
      <c r="U49" s="97">
        <v>0</v>
      </c>
      <c r="V49" s="95">
        <v>600</v>
      </c>
      <c r="W49" s="96">
        <v>1810</v>
      </c>
      <c r="X49" s="97">
        <v>0</v>
      </c>
      <c r="Y49" s="95">
        <v>0</v>
      </c>
      <c r="Z49" s="96">
        <v>10</v>
      </c>
      <c r="AA49" s="97">
        <v>30</v>
      </c>
      <c r="AB49" s="95">
        <v>0</v>
      </c>
      <c r="AC49" s="96">
        <v>0</v>
      </c>
      <c r="AD49" s="97">
        <v>30</v>
      </c>
      <c r="AE49" s="95">
        <v>1240</v>
      </c>
      <c r="AF49" s="96">
        <v>1610</v>
      </c>
      <c r="AG49" s="105">
        <v>0</v>
      </c>
      <c r="AH49" s="231">
        <f>+Janvier!AJ49</f>
        <v>1032.2802197802198</v>
      </c>
      <c r="AI49" s="231">
        <f>+Janvier!AK49</f>
        <v>3211.5384615384614</v>
      </c>
      <c r="AJ49" s="231">
        <f>+Janvier!AL49</f>
        <v>2408.6538461538462</v>
      </c>
      <c r="AK49" s="231">
        <f>+Janvier!AM49</f>
        <v>2408.6538461538462</v>
      </c>
      <c r="AL49" s="231">
        <f>+Janvier!AN49</f>
        <v>1459.7902097902099</v>
      </c>
      <c r="AM49" s="231">
        <f>+Janvier!AO49</f>
        <v>903.24519230769226</v>
      </c>
      <c r="AN49" s="231">
        <f>+Janvier!AP49</f>
        <v>1806.4903846153845</v>
      </c>
      <c r="AO49" s="231">
        <f>+Janvier!AQ49</f>
        <v>903.24519230769226</v>
      </c>
      <c r="AP49" s="231">
        <f>+Janvier!AR49</f>
        <v>903.24519230769226</v>
      </c>
      <c r="AQ49" s="231">
        <f>+Janvier!AS49</f>
        <v>1605.7692307692307</v>
      </c>
      <c r="AR49" s="16">
        <f t="shared" si="78"/>
        <v>5</v>
      </c>
      <c r="AS49" s="16">
        <f t="shared" si="79"/>
        <v>5</v>
      </c>
      <c r="AT49" s="16">
        <f t="shared" si="80"/>
        <v>5</v>
      </c>
      <c r="AU49" s="16">
        <f t="shared" si="81"/>
        <v>5</v>
      </c>
      <c r="AV49" s="16">
        <f t="shared" si="82"/>
        <v>5</v>
      </c>
      <c r="AW49" s="16">
        <f t="shared" si="83"/>
        <v>5</v>
      </c>
      <c r="AX49" s="16">
        <f t="shared" si="84"/>
        <v>5</v>
      </c>
      <c r="AY49" s="16">
        <f t="shared" si="85"/>
        <v>0</v>
      </c>
      <c r="AZ49" s="16">
        <f t="shared" si="86"/>
        <v>0</v>
      </c>
      <c r="BA49" s="17">
        <f t="shared" si="87"/>
        <v>5</v>
      </c>
    </row>
    <row r="50" spans="1:53" ht="15.6" x14ac:dyDescent="0.3">
      <c r="A50" s="199" t="s">
        <v>52</v>
      </c>
      <c r="B50" s="94">
        <v>43916</v>
      </c>
      <c r="C50" s="94">
        <v>43943</v>
      </c>
      <c r="D50" s="107">
        <v>1940</v>
      </c>
      <c r="E50" s="96">
        <v>2980</v>
      </c>
      <c r="F50" s="97">
        <v>0</v>
      </c>
      <c r="G50" s="95">
        <v>5300</v>
      </c>
      <c r="H50" s="96">
        <v>9280</v>
      </c>
      <c r="I50" s="105">
        <v>0</v>
      </c>
      <c r="J50" s="95">
        <v>4350</v>
      </c>
      <c r="K50" s="96">
        <v>6960</v>
      </c>
      <c r="L50" s="97">
        <v>0</v>
      </c>
      <c r="M50" s="95">
        <v>4800</v>
      </c>
      <c r="N50" s="96">
        <v>6958</v>
      </c>
      <c r="O50" s="97">
        <v>0</v>
      </c>
      <c r="P50" s="95">
        <v>2650</v>
      </c>
      <c r="Q50" s="96">
        <v>4216</v>
      </c>
      <c r="R50" s="97">
        <v>0</v>
      </c>
      <c r="S50" s="95">
        <v>1800</v>
      </c>
      <c r="T50" s="96">
        <v>2610</v>
      </c>
      <c r="U50" s="97">
        <v>0</v>
      </c>
      <c r="V50" s="95">
        <v>2500</v>
      </c>
      <c r="W50" s="96">
        <v>5220</v>
      </c>
      <c r="X50" s="97">
        <v>0</v>
      </c>
      <c r="Y50" s="95">
        <v>0</v>
      </c>
      <c r="Z50" s="96">
        <v>0</v>
      </c>
      <c r="AA50" s="97">
        <v>27</v>
      </c>
      <c r="AB50" s="95">
        <v>0</v>
      </c>
      <c r="AC50" s="96">
        <v>0</v>
      </c>
      <c r="AD50" s="97">
        <v>27</v>
      </c>
      <c r="AE50" s="95">
        <v>2150</v>
      </c>
      <c r="AF50" s="96">
        <v>4640</v>
      </c>
      <c r="AG50" s="105">
        <v>0</v>
      </c>
      <c r="AH50" s="231">
        <f>+Janvier!AJ50</f>
        <v>2981.6208791208792</v>
      </c>
      <c r="AI50" s="231">
        <f>+Janvier!AK50</f>
        <v>9276.1538461538476</v>
      </c>
      <c r="AJ50" s="231">
        <f>+Janvier!AL50</f>
        <v>6957.1153846153857</v>
      </c>
      <c r="AK50" s="231">
        <f>+Janvier!AM50</f>
        <v>6957.1153846153857</v>
      </c>
      <c r="AL50" s="231">
        <f>+Janvier!AN50</f>
        <v>4216.4335664335667</v>
      </c>
      <c r="AM50" s="231">
        <f>+Janvier!AO50</f>
        <v>2608.9182692307691</v>
      </c>
      <c r="AN50" s="231">
        <f>+Janvier!AP50</f>
        <v>5217.8365384615381</v>
      </c>
      <c r="AO50" s="231">
        <f>+Janvier!AQ50</f>
        <v>2608.9182692307691</v>
      </c>
      <c r="AP50" s="231">
        <f>+Janvier!AR50</f>
        <v>2608.9182692307691</v>
      </c>
      <c r="AQ50" s="231">
        <f>+Janvier!AS50</f>
        <v>4638.0769230769238</v>
      </c>
      <c r="AR50" s="16">
        <f t="shared" si="78"/>
        <v>5</v>
      </c>
      <c r="AS50" s="16">
        <f t="shared" si="79"/>
        <v>5</v>
      </c>
      <c r="AT50" s="16">
        <f t="shared" si="80"/>
        <v>5</v>
      </c>
      <c r="AU50" s="16">
        <f t="shared" si="81"/>
        <v>5</v>
      </c>
      <c r="AV50" s="16">
        <f t="shared" si="82"/>
        <v>5</v>
      </c>
      <c r="AW50" s="16">
        <f t="shared" si="83"/>
        <v>5</v>
      </c>
      <c r="AX50" s="16">
        <f t="shared" si="84"/>
        <v>5</v>
      </c>
      <c r="AY50" s="16">
        <f t="shared" si="85"/>
        <v>0</v>
      </c>
      <c r="AZ50" s="16">
        <f t="shared" si="86"/>
        <v>0</v>
      </c>
      <c r="BA50" s="17">
        <f t="shared" si="87"/>
        <v>5</v>
      </c>
    </row>
    <row r="51" spans="1:53" ht="15.6" x14ac:dyDescent="0.3">
      <c r="A51" s="199" t="s">
        <v>53</v>
      </c>
      <c r="B51" s="94">
        <v>43922</v>
      </c>
      <c r="C51" s="94">
        <v>43951</v>
      </c>
      <c r="D51" s="107">
        <v>0</v>
      </c>
      <c r="E51" s="96">
        <v>180</v>
      </c>
      <c r="F51" s="97">
        <v>0</v>
      </c>
      <c r="G51" s="95">
        <v>0</v>
      </c>
      <c r="H51" s="96">
        <v>500</v>
      </c>
      <c r="I51" s="105">
        <v>0</v>
      </c>
      <c r="J51" s="95">
        <v>0</v>
      </c>
      <c r="K51" s="96">
        <v>420</v>
      </c>
      <c r="L51" s="97">
        <v>0</v>
      </c>
      <c r="M51" s="95">
        <v>0</v>
      </c>
      <c r="N51" s="96">
        <v>404</v>
      </c>
      <c r="O51" s="97">
        <v>0</v>
      </c>
      <c r="P51" s="95">
        <v>0</v>
      </c>
      <c r="Q51" s="96">
        <v>246</v>
      </c>
      <c r="R51" s="97">
        <v>0</v>
      </c>
      <c r="S51" s="95">
        <v>0</v>
      </c>
      <c r="T51" s="96">
        <v>140</v>
      </c>
      <c r="U51" s="97">
        <v>0</v>
      </c>
      <c r="V51" s="95">
        <v>0</v>
      </c>
      <c r="W51" s="96">
        <v>320</v>
      </c>
      <c r="X51" s="97">
        <v>0</v>
      </c>
      <c r="Y51" s="95">
        <v>0</v>
      </c>
      <c r="Z51" s="96">
        <v>110</v>
      </c>
      <c r="AA51" s="97">
        <v>0</v>
      </c>
      <c r="AB51" s="95">
        <v>0</v>
      </c>
      <c r="AC51" s="96">
        <v>0</v>
      </c>
      <c r="AD51" s="97">
        <v>30</v>
      </c>
      <c r="AE51" s="95">
        <v>0</v>
      </c>
      <c r="AF51" s="96">
        <v>280</v>
      </c>
      <c r="AG51" s="105">
        <v>0</v>
      </c>
      <c r="AH51" s="231">
        <f>+Janvier!AJ51</f>
        <v>168.87362637362639</v>
      </c>
      <c r="AI51" s="231">
        <f>+Janvier!AK51</f>
        <v>525.38461538461547</v>
      </c>
      <c r="AJ51" s="231">
        <f>+Janvier!AL51</f>
        <v>394.0384615384616</v>
      </c>
      <c r="AK51" s="231">
        <f>+Janvier!AM51</f>
        <v>394.0384615384616</v>
      </c>
      <c r="AL51" s="231">
        <f>+Janvier!AN51</f>
        <v>238.81118881118883</v>
      </c>
      <c r="AM51" s="231">
        <f>+Janvier!AO51</f>
        <v>147.76442307692309</v>
      </c>
      <c r="AN51" s="231">
        <f>+Janvier!AP51</f>
        <v>295.52884615384619</v>
      </c>
      <c r="AO51" s="231">
        <f>+Janvier!AQ51</f>
        <v>147.76442307692309</v>
      </c>
      <c r="AP51" s="231">
        <f>+Janvier!AR51</f>
        <v>147.76442307692309</v>
      </c>
      <c r="AQ51" s="231">
        <f>+Janvier!AS51</f>
        <v>262.69230769230774</v>
      </c>
      <c r="AR51" s="16">
        <f t="shared" si="78"/>
        <v>5</v>
      </c>
      <c r="AS51" s="16">
        <f t="shared" si="79"/>
        <v>5</v>
      </c>
      <c r="AT51" s="16">
        <f t="shared" si="80"/>
        <v>5</v>
      </c>
      <c r="AU51" s="16">
        <f t="shared" si="81"/>
        <v>5</v>
      </c>
      <c r="AV51" s="16">
        <f t="shared" si="82"/>
        <v>5</v>
      </c>
      <c r="AW51" s="16">
        <f t="shared" si="83"/>
        <v>5</v>
      </c>
      <c r="AX51" s="16">
        <f t="shared" si="84"/>
        <v>5</v>
      </c>
      <c r="AY51" s="16">
        <f t="shared" si="85"/>
        <v>4</v>
      </c>
      <c r="AZ51" s="16">
        <f t="shared" si="86"/>
        <v>0</v>
      </c>
      <c r="BA51" s="17">
        <f t="shared" si="87"/>
        <v>5</v>
      </c>
    </row>
    <row r="52" spans="1:53" ht="15.6" x14ac:dyDescent="0.3">
      <c r="A52" s="199" t="s">
        <v>54</v>
      </c>
      <c r="B52" s="94">
        <v>43917</v>
      </c>
      <c r="C52" s="94">
        <v>43949</v>
      </c>
      <c r="D52" s="107">
        <v>940</v>
      </c>
      <c r="E52" s="96">
        <v>1000</v>
      </c>
      <c r="F52" s="97">
        <v>0</v>
      </c>
      <c r="G52" s="95">
        <v>2660</v>
      </c>
      <c r="H52" s="96">
        <v>3120</v>
      </c>
      <c r="I52" s="105">
        <v>0</v>
      </c>
      <c r="J52" s="95">
        <v>2340</v>
      </c>
      <c r="K52" s="96">
        <v>2340</v>
      </c>
      <c r="L52" s="97">
        <v>0</v>
      </c>
      <c r="M52" s="95">
        <v>2128</v>
      </c>
      <c r="N52" s="96">
        <v>2336</v>
      </c>
      <c r="O52" s="97">
        <v>0</v>
      </c>
      <c r="P52" s="95">
        <v>1240</v>
      </c>
      <c r="Q52" s="96">
        <v>1417</v>
      </c>
      <c r="R52" s="97">
        <v>0</v>
      </c>
      <c r="S52" s="95">
        <v>700</v>
      </c>
      <c r="T52" s="96">
        <v>880</v>
      </c>
      <c r="U52" s="97">
        <v>0</v>
      </c>
      <c r="V52" s="95">
        <v>1250</v>
      </c>
      <c r="W52" s="96">
        <v>1750</v>
      </c>
      <c r="X52" s="97">
        <v>0</v>
      </c>
      <c r="Y52" s="95">
        <v>0</v>
      </c>
      <c r="Z52" s="96">
        <v>0</v>
      </c>
      <c r="AA52" s="97">
        <v>31</v>
      </c>
      <c r="AB52" s="95">
        <v>0</v>
      </c>
      <c r="AC52" s="96">
        <v>0</v>
      </c>
      <c r="AD52" s="97">
        <v>31</v>
      </c>
      <c r="AE52" s="95">
        <v>1230</v>
      </c>
      <c r="AF52" s="96">
        <v>1560</v>
      </c>
      <c r="AG52" s="105">
        <v>0</v>
      </c>
      <c r="AH52" s="231">
        <f>+Janvier!AJ52</f>
        <v>1001.7445054945053</v>
      </c>
      <c r="AI52" s="231">
        <f>+Janvier!AK52</f>
        <v>3116.5384615384614</v>
      </c>
      <c r="AJ52" s="231">
        <f>+Janvier!AL52</f>
        <v>2337.4038461538462</v>
      </c>
      <c r="AK52" s="231">
        <f>+Janvier!AM52</f>
        <v>2337.4038461538462</v>
      </c>
      <c r="AL52" s="231">
        <f>+Janvier!AN52</f>
        <v>1416.6083916083917</v>
      </c>
      <c r="AM52" s="231">
        <f>+Janvier!AO52</f>
        <v>876.52644230769226</v>
      </c>
      <c r="AN52" s="231">
        <f>+Janvier!AP52</f>
        <v>1753.0528846153845</v>
      </c>
      <c r="AO52" s="231">
        <f>+Janvier!AQ52</f>
        <v>876.52644230769226</v>
      </c>
      <c r="AP52" s="231">
        <f>+Janvier!AR52</f>
        <v>876.52644230769226</v>
      </c>
      <c r="AQ52" s="231">
        <f>+Janvier!AS52</f>
        <v>1558.2692307692307</v>
      </c>
      <c r="AR52" s="16">
        <f t="shared" si="78"/>
        <v>5</v>
      </c>
      <c r="AS52" s="16">
        <f t="shared" si="79"/>
        <v>5</v>
      </c>
      <c r="AT52" s="16">
        <f t="shared" si="80"/>
        <v>5</v>
      </c>
      <c r="AU52" s="16">
        <f t="shared" si="81"/>
        <v>5</v>
      </c>
      <c r="AV52" s="16">
        <f t="shared" si="82"/>
        <v>5</v>
      </c>
      <c r="AW52" s="16">
        <f t="shared" si="83"/>
        <v>5</v>
      </c>
      <c r="AX52" s="16">
        <f t="shared" si="84"/>
        <v>5</v>
      </c>
      <c r="AY52" s="16">
        <f t="shared" si="85"/>
        <v>0</v>
      </c>
      <c r="AZ52" s="16">
        <f t="shared" si="86"/>
        <v>0</v>
      </c>
      <c r="BA52" s="17">
        <f t="shared" si="87"/>
        <v>5</v>
      </c>
    </row>
    <row r="53" spans="1:53" ht="16.2" thickBot="1" x14ac:dyDescent="0.35">
      <c r="A53" s="200" t="s">
        <v>55</v>
      </c>
      <c r="B53" s="255">
        <v>43926</v>
      </c>
      <c r="C53" s="255">
        <v>43952</v>
      </c>
      <c r="D53" s="249">
        <v>120</v>
      </c>
      <c r="E53" s="260">
        <v>280</v>
      </c>
      <c r="F53" s="261">
        <v>0</v>
      </c>
      <c r="G53" s="111">
        <v>400</v>
      </c>
      <c r="H53" s="109">
        <v>840</v>
      </c>
      <c r="I53" s="112">
        <v>0</v>
      </c>
      <c r="J53" s="111">
        <v>310</v>
      </c>
      <c r="K53" s="109">
        <v>630</v>
      </c>
      <c r="L53" s="110">
        <v>0</v>
      </c>
      <c r="M53" s="111">
        <v>400</v>
      </c>
      <c r="N53" s="109">
        <v>628</v>
      </c>
      <c r="O53" s="110">
        <v>0</v>
      </c>
      <c r="P53" s="111">
        <v>264</v>
      </c>
      <c r="Q53" s="109">
        <v>381</v>
      </c>
      <c r="R53" s="110">
        <v>0</v>
      </c>
      <c r="S53" s="111">
        <v>200</v>
      </c>
      <c r="T53" s="109">
        <v>240</v>
      </c>
      <c r="U53" s="110">
        <v>0</v>
      </c>
      <c r="V53" s="111">
        <v>310</v>
      </c>
      <c r="W53" s="109">
        <v>470</v>
      </c>
      <c r="X53" s="110">
        <v>0</v>
      </c>
      <c r="Y53" s="111">
        <v>0</v>
      </c>
      <c r="Z53" s="109">
        <v>0</v>
      </c>
      <c r="AA53" s="110">
        <v>26</v>
      </c>
      <c r="AB53" s="111">
        <v>0</v>
      </c>
      <c r="AC53" s="109">
        <v>0</v>
      </c>
      <c r="AD53" s="110">
        <v>260</v>
      </c>
      <c r="AE53" s="111">
        <v>280</v>
      </c>
      <c r="AF53" s="109">
        <v>450</v>
      </c>
      <c r="AG53" s="112">
        <v>0</v>
      </c>
      <c r="AH53" s="231">
        <f>+Janvier!AJ53</f>
        <v>269.25824175824175</v>
      </c>
      <c r="AI53" s="231">
        <f>+Janvier!AK53</f>
        <v>837.69230769230774</v>
      </c>
      <c r="AJ53" s="231">
        <f>+Janvier!AL53</f>
        <v>628.26923076923083</v>
      </c>
      <c r="AK53" s="231">
        <f>+Janvier!AM53</f>
        <v>628.26923076923083</v>
      </c>
      <c r="AL53" s="231">
        <f>+Janvier!AN53</f>
        <v>380.76923076923083</v>
      </c>
      <c r="AM53" s="231">
        <f>+Janvier!AO53</f>
        <v>235.60096153846155</v>
      </c>
      <c r="AN53" s="231">
        <f>+Janvier!AP53</f>
        <v>471.20192307692309</v>
      </c>
      <c r="AO53" s="231">
        <f>+Janvier!AQ53</f>
        <v>235.60096153846155</v>
      </c>
      <c r="AP53" s="231">
        <f>+Janvier!AR53</f>
        <v>235.60096153846155</v>
      </c>
      <c r="AQ53" s="231">
        <f>+Janvier!AS53</f>
        <v>418.84615384615387</v>
      </c>
      <c r="AR53" s="32">
        <f t="shared" si="78"/>
        <v>5</v>
      </c>
      <c r="AS53" s="32">
        <f t="shared" si="79"/>
        <v>5</v>
      </c>
      <c r="AT53" s="32">
        <f t="shared" si="80"/>
        <v>5</v>
      </c>
      <c r="AU53" s="32">
        <f t="shared" si="81"/>
        <v>5</v>
      </c>
      <c r="AV53" s="32">
        <f t="shared" si="82"/>
        <v>5</v>
      </c>
      <c r="AW53" s="32">
        <f t="shared" si="83"/>
        <v>5</v>
      </c>
      <c r="AX53" s="32">
        <f t="shared" si="84"/>
        <v>5</v>
      </c>
      <c r="AY53" s="32">
        <f t="shared" si="85"/>
        <v>0</v>
      </c>
      <c r="AZ53" s="32">
        <f t="shared" si="86"/>
        <v>0</v>
      </c>
      <c r="BA53" s="33">
        <f t="shared" si="87"/>
        <v>5</v>
      </c>
    </row>
    <row r="54" spans="1:53" ht="15.6" x14ac:dyDescent="0.3">
      <c r="A54" s="201" t="s">
        <v>146</v>
      </c>
      <c r="B54" s="256">
        <v>43922</v>
      </c>
      <c r="C54" s="259">
        <v>43951</v>
      </c>
      <c r="D54" s="125">
        <v>0</v>
      </c>
      <c r="E54" s="123">
        <v>21500</v>
      </c>
      <c r="F54" s="124">
        <v>0</v>
      </c>
      <c r="G54" s="125">
        <v>0</v>
      </c>
      <c r="H54" s="123">
        <v>76860</v>
      </c>
      <c r="I54" s="124">
        <v>0</v>
      </c>
      <c r="J54" s="125">
        <v>0</v>
      </c>
      <c r="K54" s="123">
        <v>51580</v>
      </c>
      <c r="L54" s="124">
        <v>0</v>
      </c>
      <c r="M54" s="125">
        <v>0</v>
      </c>
      <c r="N54" s="123">
        <v>54348</v>
      </c>
      <c r="O54" s="124">
        <v>0</v>
      </c>
      <c r="P54" s="125">
        <v>0</v>
      </c>
      <c r="Q54" s="123">
        <v>33300</v>
      </c>
      <c r="R54" s="124">
        <v>0</v>
      </c>
      <c r="S54" s="125">
        <v>0</v>
      </c>
      <c r="T54" s="123">
        <v>14270</v>
      </c>
      <c r="U54" s="124">
        <v>0</v>
      </c>
      <c r="V54" s="125">
        <v>0</v>
      </c>
      <c r="W54" s="123">
        <v>61120</v>
      </c>
      <c r="X54" s="124">
        <v>0</v>
      </c>
      <c r="Y54" s="125">
        <v>0</v>
      </c>
      <c r="Z54" s="123">
        <v>17540</v>
      </c>
      <c r="AA54" s="124">
        <v>0</v>
      </c>
      <c r="AB54" s="125">
        <v>0</v>
      </c>
      <c r="AC54" s="123">
        <v>700</v>
      </c>
      <c r="AD54" s="124">
        <v>0</v>
      </c>
      <c r="AE54" s="125">
        <v>0</v>
      </c>
      <c r="AF54" s="123">
        <v>64090</v>
      </c>
      <c r="AG54" s="124">
        <v>0</v>
      </c>
      <c r="AH54" s="265">
        <f>+Janvier!AJ54</f>
        <v>63310.376250000001</v>
      </c>
      <c r="AI54" s="231">
        <f>+Janvier!AK54</f>
        <v>217816.00961538462</v>
      </c>
      <c r="AJ54" s="231">
        <f>+Janvier!AL54</f>
        <v>145065.46240384618</v>
      </c>
      <c r="AK54" s="231">
        <f>+Janvier!AM54</f>
        <v>145065.46240384618</v>
      </c>
      <c r="AL54" s="231">
        <f>+Janvier!AN54</f>
        <v>91482.724038461543</v>
      </c>
      <c r="AM54" s="231">
        <f>+Janvier!AO54</f>
        <v>54454.002403846156</v>
      </c>
      <c r="AN54" s="231">
        <f>+Janvier!AP54</f>
        <v>108908.00480769231</v>
      </c>
      <c r="AO54" s="231">
        <f>+Janvier!AQ54</f>
        <v>54454.002403846156</v>
      </c>
      <c r="AP54" s="231">
        <f>+Janvier!AR54</f>
        <v>54454.002403846156</v>
      </c>
      <c r="AQ54" s="231">
        <f>+Janvier!AS54</f>
        <v>98286.038653846175</v>
      </c>
      <c r="AR54" s="16">
        <f>ROUND(E54/(AH54/15),0)</f>
        <v>5</v>
      </c>
      <c r="AS54" s="16">
        <f t="shared" ref="AS54" si="88">ROUND(H54/(AI54/15),0)</f>
        <v>5</v>
      </c>
      <c r="AT54" s="16">
        <f t="shared" ref="AT54" si="89">ROUND(K54/(AJ54/15),0)</f>
        <v>5</v>
      </c>
      <c r="AU54" s="16">
        <f t="shared" ref="AU54" si="90">ROUND(N54/(AK54/15),0)</f>
        <v>6</v>
      </c>
      <c r="AV54" s="16">
        <f t="shared" ref="AV54" si="91">ROUND(Q54/(AL54/15),0)</f>
        <v>5</v>
      </c>
      <c r="AW54" s="16">
        <f t="shared" ref="AW54" si="92">ROUND(T54/(AM54/15),0)</f>
        <v>4</v>
      </c>
      <c r="AX54" s="16">
        <f t="shared" ref="AX54" si="93">ROUND(W54/(AN54/15),0)</f>
        <v>8</v>
      </c>
      <c r="AY54" s="16">
        <f t="shared" ref="AY54" si="94">ROUND(Z54/(AO54/15),0)</f>
        <v>5</v>
      </c>
      <c r="AZ54" s="16">
        <f t="shared" ref="AZ54" si="95">ROUND(AC54/(AP54/15),0)</f>
        <v>0</v>
      </c>
      <c r="BA54" s="17">
        <f t="shared" ref="BA54" si="96">ROUND(AF54/(AQ54/15),0)</f>
        <v>10</v>
      </c>
    </row>
    <row r="55" spans="1:53" ht="15.6" x14ac:dyDescent="0.3">
      <c r="A55" s="199" t="s">
        <v>21</v>
      </c>
      <c r="B55" s="257">
        <v>43922</v>
      </c>
      <c r="C55" s="233">
        <v>43951</v>
      </c>
      <c r="D55" s="95">
        <v>1300</v>
      </c>
      <c r="E55" s="96">
        <v>300</v>
      </c>
      <c r="F55" s="97">
        <v>0</v>
      </c>
      <c r="G55" s="95">
        <v>3000</v>
      </c>
      <c r="H55" s="96">
        <v>1180</v>
      </c>
      <c r="I55" s="97">
        <v>0</v>
      </c>
      <c r="J55" s="95">
        <v>2200</v>
      </c>
      <c r="K55" s="96">
        <v>130</v>
      </c>
      <c r="L55" s="97">
        <v>0</v>
      </c>
      <c r="M55" s="95">
        <v>2468</v>
      </c>
      <c r="N55" s="96">
        <v>496</v>
      </c>
      <c r="O55" s="97">
        <v>0</v>
      </c>
      <c r="P55" s="95">
        <v>1500</v>
      </c>
      <c r="Q55" s="96">
        <v>325</v>
      </c>
      <c r="R55" s="97">
        <v>0</v>
      </c>
      <c r="S55" s="95">
        <v>840</v>
      </c>
      <c r="T55" s="96">
        <v>160</v>
      </c>
      <c r="U55" s="97">
        <v>0</v>
      </c>
      <c r="V55" s="95">
        <v>1320</v>
      </c>
      <c r="W55" s="96">
        <v>680</v>
      </c>
      <c r="X55" s="97">
        <v>0</v>
      </c>
      <c r="Y55" s="95">
        <v>840</v>
      </c>
      <c r="Z55" s="96">
        <v>210</v>
      </c>
      <c r="AA55" s="97">
        <v>0</v>
      </c>
      <c r="AB55" s="95">
        <v>800</v>
      </c>
      <c r="AC55" s="96">
        <v>30</v>
      </c>
      <c r="AD55" s="97">
        <v>0</v>
      </c>
      <c r="AE55" s="95">
        <v>1730</v>
      </c>
      <c r="AF55" s="96">
        <v>1010</v>
      </c>
      <c r="AG55" s="97">
        <v>0</v>
      </c>
      <c r="AH55" s="265">
        <f>+Janvier!AJ55</f>
        <v>1099.4093406593406</v>
      </c>
      <c r="AI55" s="231">
        <f>+Janvier!AK55</f>
        <v>3420.3846153846152</v>
      </c>
      <c r="AJ55" s="231">
        <f>+Janvier!AL55</f>
        <v>2565.2884615384614</v>
      </c>
      <c r="AK55" s="231">
        <f>+Janvier!AM55</f>
        <v>2565.2884615384614</v>
      </c>
      <c r="AL55" s="231">
        <f>+Janvier!AN55</f>
        <v>1554.7202797202797</v>
      </c>
      <c r="AM55" s="231">
        <f>+Janvier!AO55</f>
        <v>961.98317307692309</v>
      </c>
      <c r="AN55" s="231">
        <f>+Janvier!AP55</f>
        <v>1923.9663461538462</v>
      </c>
      <c r="AO55" s="231">
        <f>+Janvier!AQ55</f>
        <v>961.98317307692309</v>
      </c>
      <c r="AP55" s="231">
        <f>+Janvier!AR55</f>
        <v>961.98317307692309</v>
      </c>
      <c r="AQ55" s="231">
        <f>+Janvier!AS55</f>
        <v>1710.1923076923076</v>
      </c>
      <c r="AR55" s="16">
        <f t="shared" ref="AR55:AR67" si="97">ROUND(E55/(AH55/5),0)</f>
        <v>1</v>
      </c>
      <c r="AS55" s="16">
        <f t="shared" ref="AS55:AS67" si="98">ROUND(H55/(AI55/5),0)</f>
        <v>2</v>
      </c>
      <c r="AT55" s="16">
        <f t="shared" ref="AT55:AT67" si="99">ROUND(K55/(AJ55/5),0)</f>
        <v>0</v>
      </c>
      <c r="AU55" s="16">
        <f t="shared" ref="AU55:AU67" si="100">ROUND(N55/(AK55/5),0)</f>
        <v>1</v>
      </c>
      <c r="AV55" s="16">
        <f t="shared" ref="AV55:AV67" si="101">ROUND(Q55/(AL55/5),0)</f>
        <v>1</v>
      </c>
      <c r="AW55" s="16">
        <f t="shared" ref="AW55:AW67" si="102">ROUND(T55/(AM55/5),0)</f>
        <v>1</v>
      </c>
      <c r="AX55" s="16">
        <f t="shared" ref="AX55:AX67" si="103">ROUND(W55/(AN55/5),0)</f>
        <v>2</v>
      </c>
      <c r="AY55" s="16">
        <f t="shared" ref="AY55:AY67" si="104">ROUND(Z55/(AO55/5),0)</f>
        <v>1</v>
      </c>
      <c r="AZ55" s="16">
        <f t="shared" ref="AZ55:AZ67" si="105">ROUND(AC55/(AP55/5),0)</f>
        <v>0</v>
      </c>
      <c r="BA55" s="17">
        <f t="shared" ref="BA55:BA67" si="106">ROUND(AF55/(AQ55/5),0)</f>
        <v>3</v>
      </c>
    </row>
    <row r="56" spans="1:53" ht="15.6" x14ac:dyDescent="0.3">
      <c r="A56" s="199" t="s">
        <v>22</v>
      </c>
      <c r="B56" s="257">
        <v>43922</v>
      </c>
      <c r="C56" s="233">
        <v>43951</v>
      </c>
      <c r="D56" s="95">
        <v>0</v>
      </c>
      <c r="E56" s="96">
        <v>40</v>
      </c>
      <c r="F56" s="97">
        <v>0</v>
      </c>
      <c r="G56" s="95">
        <v>0</v>
      </c>
      <c r="H56" s="96">
        <v>520</v>
      </c>
      <c r="I56" s="97">
        <v>0</v>
      </c>
      <c r="J56" s="95">
        <v>0</v>
      </c>
      <c r="K56" s="96">
        <v>300</v>
      </c>
      <c r="L56" s="97">
        <v>0</v>
      </c>
      <c r="M56" s="95">
        <v>0</v>
      </c>
      <c r="N56" s="96">
        <v>308</v>
      </c>
      <c r="O56" s="97">
        <v>0</v>
      </c>
      <c r="P56" s="95">
        <v>0</v>
      </c>
      <c r="Q56" s="96">
        <v>119</v>
      </c>
      <c r="R56" s="97">
        <v>0</v>
      </c>
      <c r="S56" s="95">
        <v>0</v>
      </c>
      <c r="T56" s="96">
        <v>480</v>
      </c>
      <c r="U56" s="97">
        <v>0</v>
      </c>
      <c r="V56" s="95">
        <v>0</v>
      </c>
      <c r="W56" s="96">
        <v>380</v>
      </c>
      <c r="X56" s="97">
        <v>0</v>
      </c>
      <c r="Y56" s="95">
        <v>0</v>
      </c>
      <c r="Z56" s="96">
        <v>310</v>
      </c>
      <c r="AA56" s="97">
        <v>0</v>
      </c>
      <c r="AB56" s="95">
        <v>0</v>
      </c>
      <c r="AC56" s="96">
        <v>0</v>
      </c>
      <c r="AD56" s="97">
        <v>3</v>
      </c>
      <c r="AE56" s="95">
        <v>0</v>
      </c>
      <c r="AF56" s="96">
        <v>480</v>
      </c>
      <c r="AG56" s="97">
        <v>0</v>
      </c>
      <c r="AH56" s="265">
        <f>+Janvier!AJ56</f>
        <v>434.54670329670336</v>
      </c>
      <c r="AI56" s="231">
        <f>+Janvier!AK56</f>
        <v>1351.9230769230767</v>
      </c>
      <c r="AJ56" s="231">
        <f>+Janvier!AL56</f>
        <v>1013.9423076923077</v>
      </c>
      <c r="AK56" s="231">
        <f>+Janvier!AM56</f>
        <v>1013.9423076923077</v>
      </c>
      <c r="AL56" s="231">
        <f>+Janvier!AN56</f>
        <v>614.51048951048949</v>
      </c>
      <c r="AM56" s="231">
        <f>+Janvier!AO56</f>
        <v>380.22836538461542</v>
      </c>
      <c r="AN56" s="231">
        <f>+Janvier!AP56</f>
        <v>760.45673076923083</v>
      </c>
      <c r="AO56" s="231">
        <f>+Janvier!AQ56</f>
        <v>380.22836538461542</v>
      </c>
      <c r="AP56" s="231">
        <f>+Janvier!AR56</f>
        <v>380.22836538461542</v>
      </c>
      <c r="AQ56" s="231">
        <f>+Janvier!AS56</f>
        <v>675.96153846153834</v>
      </c>
      <c r="AR56" s="16">
        <f t="shared" si="97"/>
        <v>0</v>
      </c>
      <c r="AS56" s="16">
        <f t="shared" si="98"/>
        <v>2</v>
      </c>
      <c r="AT56" s="16">
        <f t="shared" si="99"/>
        <v>1</v>
      </c>
      <c r="AU56" s="16">
        <f t="shared" si="100"/>
        <v>2</v>
      </c>
      <c r="AV56" s="16">
        <f t="shared" si="101"/>
        <v>1</v>
      </c>
      <c r="AW56" s="16">
        <f t="shared" si="102"/>
        <v>6</v>
      </c>
      <c r="AX56" s="16">
        <f t="shared" si="103"/>
        <v>2</v>
      </c>
      <c r="AY56" s="16">
        <f t="shared" si="104"/>
        <v>4</v>
      </c>
      <c r="AZ56" s="16">
        <f t="shared" si="105"/>
        <v>0</v>
      </c>
      <c r="BA56" s="17">
        <f t="shared" si="106"/>
        <v>4</v>
      </c>
    </row>
    <row r="57" spans="1:53" ht="15.6" x14ac:dyDescent="0.3">
      <c r="A57" s="199" t="s">
        <v>25</v>
      </c>
      <c r="B57" s="257">
        <v>43922</v>
      </c>
      <c r="C57" s="233">
        <v>43951</v>
      </c>
      <c r="D57" s="95">
        <v>1060</v>
      </c>
      <c r="E57" s="96">
        <v>340</v>
      </c>
      <c r="F57" s="97">
        <v>0</v>
      </c>
      <c r="G57" s="95">
        <v>2740</v>
      </c>
      <c r="H57" s="96">
        <v>1020</v>
      </c>
      <c r="I57" s="97">
        <v>0</v>
      </c>
      <c r="J57" s="95">
        <v>2400</v>
      </c>
      <c r="K57" s="96">
        <v>1150</v>
      </c>
      <c r="L57" s="97">
        <v>0</v>
      </c>
      <c r="M57" s="95">
        <v>2400</v>
      </c>
      <c r="N57" s="96">
        <v>1256</v>
      </c>
      <c r="O57" s="97">
        <v>0</v>
      </c>
      <c r="P57" s="95">
        <v>1322</v>
      </c>
      <c r="Q57" s="96">
        <v>339</v>
      </c>
      <c r="R57" s="97">
        <v>0</v>
      </c>
      <c r="S57" s="95">
        <v>800</v>
      </c>
      <c r="T57" s="96">
        <v>340</v>
      </c>
      <c r="U57" s="97">
        <v>0</v>
      </c>
      <c r="V57" s="95">
        <v>1460</v>
      </c>
      <c r="W57" s="96">
        <v>850</v>
      </c>
      <c r="X57" s="97">
        <v>0</v>
      </c>
      <c r="Y57" s="95">
        <v>640</v>
      </c>
      <c r="Z57" s="96">
        <v>150</v>
      </c>
      <c r="AA57" s="97">
        <v>0</v>
      </c>
      <c r="AB57" s="95">
        <v>570</v>
      </c>
      <c r="AC57" s="96">
        <v>90</v>
      </c>
      <c r="AD57" s="97">
        <v>0</v>
      </c>
      <c r="AE57" s="95">
        <v>1340</v>
      </c>
      <c r="AF57" s="96">
        <v>780</v>
      </c>
      <c r="AG57" s="97">
        <v>0</v>
      </c>
      <c r="AH57" s="265">
        <f>+Janvier!AJ57</f>
        <v>816.30494505494516</v>
      </c>
      <c r="AI57" s="231">
        <f>+Janvier!AK57</f>
        <v>2539.6153846153848</v>
      </c>
      <c r="AJ57" s="231">
        <f>+Janvier!AL57</f>
        <v>1904.7115384615383</v>
      </c>
      <c r="AK57" s="231">
        <f>+Janvier!AM57</f>
        <v>1904.7115384615383</v>
      </c>
      <c r="AL57" s="231">
        <f>+Janvier!AN57</f>
        <v>1154.3706293706296</v>
      </c>
      <c r="AM57" s="231">
        <f>+Janvier!AO57</f>
        <v>714.26682692307691</v>
      </c>
      <c r="AN57" s="231">
        <f>+Janvier!AP57</f>
        <v>1428.5336538461538</v>
      </c>
      <c r="AO57" s="231">
        <f>+Janvier!AQ57</f>
        <v>714.26682692307691</v>
      </c>
      <c r="AP57" s="231">
        <f>+Janvier!AR57</f>
        <v>714.26682692307691</v>
      </c>
      <c r="AQ57" s="231">
        <f>+Janvier!AS57</f>
        <v>1269.8076923076924</v>
      </c>
      <c r="AR57" s="16">
        <f t="shared" si="97"/>
        <v>2</v>
      </c>
      <c r="AS57" s="16">
        <f t="shared" si="98"/>
        <v>2</v>
      </c>
      <c r="AT57" s="16">
        <f t="shared" si="99"/>
        <v>3</v>
      </c>
      <c r="AU57" s="16">
        <f t="shared" si="100"/>
        <v>3</v>
      </c>
      <c r="AV57" s="16">
        <f t="shared" si="101"/>
        <v>1</v>
      </c>
      <c r="AW57" s="16">
        <f t="shared" si="102"/>
        <v>2</v>
      </c>
      <c r="AX57" s="16">
        <f t="shared" si="103"/>
        <v>3</v>
      </c>
      <c r="AY57" s="16">
        <f t="shared" si="104"/>
        <v>1</v>
      </c>
      <c r="AZ57" s="16">
        <f t="shared" si="105"/>
        <v>1</v>
      </c>
      <c r="BA57" s="17">
        <f t="shared" si="106"/>
        <v>3</v>
      </c>
    </row>
    <row r="58" spans="1:53" ht="15.6" x14ac:dyDescent="0.3">
      <c r="A58" s="199" t="s">
        <v>23</v>
      </c>
      <c r="B58" s="257">
        <v>43922</v>
      </c>
      <c r="C58" s="233">
        <v>43951</v>
      </c>
      <c r="D58" s="95">
        <v>1600</v>
      </c>
      <c r="E58" s="96">
        <v>1440</v>
      </c>
      <c r="F58" s="97">
        <v>0</v>
      </c>
      <c r="G58" s="95">
        <v>4400</v>
      </c>
      <c r="H58" s="96">
        <v>4880</v>
      </c>
      <c r="I58" s="97">
        <v>0</v>
      </c>
      <c r="J58" s="95">
        <v>2500</v>
      </c>
      <c r="K58" s="96">
        <v>3280</v>
      </c>
      <c r="L58" s="97">
        <v>0</v>
      </c>
      <c r="M58" s="95">
        <v>3468</v>
      </c>
      <c r="N58" s="96">
        <v>3200</v>
      </c>
      <c r="O58" s="97">
        <v>0</v>
      </c>
      <c r="P58" s="95">
        <v>2450</v>
      </c>
      <c r="Q58" s="96">
        <v>1438</v>
      </c>
      <c r="R58" s="97">
        <v>0</v>
      </c>
      <c r="S58" s="95">
        <v>1000</v>
      </c>
      <c r="T58" s="96">
        <v>1660</v>
      </c>
      <c r="U58" s="97">
        <v>0</v>
      </c>
      <c r="V58" s="95">
        <v>2500</v>
      </c>
      <c r="W58" s="96">
        <v>1810</v>
      </c>
      <c r="X58" s="97">
        <v>0</v>
      </c>
      <c r="Y58" s="95">
        <v>1500</v>
      </c>
      <c r="Z58" s="96">
        <v>1420</v>
      </c>
      <c r="AA58" s="97">
        <v>0</v>
      </c>
      <c r="AB58" s="95">
        <v>1500</v>
      </c>
      <c r="AC58" s="96">
        <v>1370</v>
      </c>
      <c r="AD58" s="97">
        <v>0</v>
      </c>
      <c r="AE58" s="95">
        <v>2200</v>
      </c>
      <c r="AF58" s="96">
        <v>2530</v>
      </c>
      <c r="AG58" s="97">
        <v>0</v>
      </c>
      <c r="AH58" s="265">
        <f>+Janvier!AJ58</f>
        <v>510.08241758241758</v>
      </c>
      <c r="AI58" s="231">
        <f>+Janvier!AK58</f>
        <v>1586.9230769230767</v>
      </c>
      <c r="AJ58" s="231">
        <f>+Janvier!AL58</f>
        <v>1190.1923076923078</v>
      </c>
      <c r="AK58" s="231">
        <f>+Janvier!AM58</f>
        <v>1190.1923076923078</v>
      </c>
      <c r="AL58" s="231">
        <f>+Janvier!AN58</f>
        <v>721.32867132867148</v>
      </c>
      <c r="AM58" s="231">
        <f>+Janvier!AO58</f>
        <v>446.32211538461542</v>
      </c>
      <c r="AN58" s="231">
        <f>+Janvier!AP58</f>
        <v>892.64423076923083</v>
      </c>
      <c r="AO58" s="231">
        <f>+Janvier!AQ58</f>
        <v>446.32211538461542</v>
      </c>
      <c r="AP58" s="231">
        <f>+Janvier!AR58</f>
        <v>446.32211538461542</v>
      </c>
      <c r="AQ58" s="231">
        <f>+Janvier!AS58</f>
        <v>793.46153846153834</v>
      </c>
      <c r="AR58" s="16">
        <f t="shared" si="97"/>
        <v>14</v>
      </c>
      <c r="AS58" s="16">
        <f t="shared" si="98"/>
        <v>15</v>
      </c>
      <c r="AT58" s="16">
        <f t="shared" si="99"/>
        <v>14</v>
      </c>
      <c r="AU58" s="16">
        <f t="shared" si="100"/>
        <v>13</v>
      </c>
      <c r="AV58" s="16">
        <f t="shared" si="101"/>
        <v>10</v>
      </c>
      <c r="AW58" s="16">
        <f t="shared" si="102"/>
        <v>19</v>
      </c>
      <c r="AX58" s="16">
        <f t="shared" si="103"/>
        <v>10</v>
      </c>
      <c r="AY58" s="16">
        <f t="shared" si="104"/>
        <v>16</v>
      </c>
      <c r="AZ58" s="16">
        <f t="shared" si="105"/>
        <v>15</v>
      </c>
      <c r="BA58" s="17">
        <f t="shared" si="106"/>
        <v>16</v>
      </c>
    </row>
    <row r="59" spans="1:53" ht="15.6" x14ac:dyDescent="0.3">
      <c r="A59" s="199" t="s">
        <v>24</v>
      </c>
      <c r="B59" s="257">
        <v>43922</v>
      </c>
      <c r="C59" s="233">
        <v>43951</v>
      </c>
      <c r="D59" s="95">
        <v>1000</v>
      </c>
      <c r="E59" s="96">
        <v>240</v>
      </c>
      <c r="F59" s="97">
        <v>0</v>
      </c>
      <c r="G59" s="95">
        <v>2220</v>
      </c>
      <c r="H59" s="96">
        <v>1720</v>
      </c>
      <c r="I59" s="97">
        <v>0</v>
      </c>
      <c r="J59" s="95">
        <v>1570</v>
      </c>
      <c r="K59" s="96">
        <v>1070</v>
      </c>
      <c r="L59" s="97">
        <v>0</v>
      </c>
      <c r="M59" s="95">
        <v>1728</v>
      </c>
      <c r="N59" s="96">
        <v>1424</v>
      </c>
      <c r="O59" s="97">
        <v>0</v>
      </c>
      <c r="P59" s="95">
        <v>724</v>
      </c>
      <c r="Q59" s="96">
        <v>578</v>
      </c>
      <c r="R59" s="97">
        <v>0</v>
      </c>
      <c r="S59" s="95">
        <v>540</v>
      </c>
      <c r="T59" s="96">
        <v>320</v>
      </c>
      <c r="U59" s="97">
        <v>0</v>
      </c>
      <c r="V59" s="95">
        <v>770</v>
      </c>
      <c r="W59" s="96">
        <v>300</v>
      </c>
      <c r="X59" s="97">
        <v>0</v>
      </c>
      <c r="Y59" s="95">
        <v>730</v>
      </c>
      <c r="Z59" s="96">
        <v>570</v>
      </c>
      <c r="AA59" s="97">
        <v>0</v>
      </c>
      <c r="AB59" s="95">
        <v>800</v>
      </c>
      <c r="AC59" s="96">
        <v>390</v>
      </c>
      <c r="AD59" s="97">
        <v>0</v>
      </c>
      <c r="AE59" s="95">
        <v>1100</v>
      </c>
      <c r="AF59" s="96">
        <v>390</v>
      </c>
      <c r="AG59" s="97">
        <v>0</v>
      </c>
      <c r="AH59" s="265">
        <f>+Janvier!AJ59</f>
        <v>646.8131868131868</v>
      </c>
      <c r="AI59" s="231">
        <f>+Janvier!AK59</f>
        <v>2012.3076923076924</v>
      </c>
      <c r="AJ59" s="231">
        <f>+Janvier!AL59</f>
        <v>1509.2307692307693</v>
      </c>
      <c r="AK59" s="231">
        <f>+Janvier!AM59</f>
        <v>1509.2307692307693</v>
      </c>
      <c r="AL59" s="231">
        <f>+Janvier!AN59</f>
        <v>914.68531468531478</v>
      </c>
      <c r="AM59" s="231">
        <f>+Janvier!AO59</f>
        <v>565.96153846153845</v>
      </c>
      <c r="AN59" s="231">
        <f>+Janvier!AP59</f>
        <v>1131.9230769230769</v>
      </c>
      <c r="AO59" s="231">
        <f>+Janvier!AQ59</f>
        <v>565.96153846153845</v>
      </c>
      <c r="AP59" s="231">
        <f>+Janvier!AR59</f>
        <v>565.96153846153845</v>
      </c>
      <c r="AQ59" s="231">
        <f>+Janvier!AS59</f>
        <v>1006.1538461538462</v>
      </c>
      <c r="AR59" s="16">
        <f t="shared" si="97"/>
        <v>2</v>
      </c>
      <c r="AS59" s="16">
        <f t="shared" si="98"/>
        <v>4</v>
      </c>
      <c r="AT59" s="16">
        <f t="shared" si="99"/>
        <v>4</v>
      </c>
      <c r="AU59" s="16">
        <f t="shared" si="100"/>
        <v>5</v>
      </c>
      <c r="AV59" s="16">
        <f t="shared" si="101"/>
        <v>3</v>
      </c>
      <c r="AW59" s="16">
        <f t="shared" si="102"/>
        <v>3</v>
      </c>
      <c r="AX59" s="16">
        <f t="shared" si="103"/>
        <v>1</v>
      </c>
      <c r="AY59" s="16">
        <f t="shared" si="104"/>
        <v>5</v>
      </c>
      <c r="AZ59" s="16">
        <f t="shared" si="105"/>
        <v>3</v>
      </c>
      <c r="BA59" s="17">
        <f t="shared" si="106"/>
        <v>2</v>
      </c>
    </row>
    <row r="60" spans="1:53" ht="15.6" x14ac:dyDescent="0.3">
      <c r="A60" s="199" t="s">
        <v>26</v>
      </c>
      <c r="B60" s="257">
        <v>43922</v>
      </c>
      <c r="C60" s="233">
        <v>43951</v>
      </c>
      <c r="D60" s="95">
        <v>3000</v>
      </c>
      <c r="E60" s="96">
        <v>760</v>
      </c>
      <c r="F60" s="97">
        <v>0</v>
      </c>
      <c r="G60" s="95">
        <v>6000</v>
      </c>
      <c r="H60" s="96">
        <v>3120</v>
      </c>
      <c r="I60" s="97">
        <v>0</v>
      </c>
      <c r="J60" s="95">
        <v>4500</v>
      </c>
      <c r="K60" s="96">
        <v>2840</v>
      </c>
      <c r="L60" s="97">
        <v>0</v>
      </c>
      <c r="M60" s="95">
        <v>4200</v>
      </c>
      <c r="N60" s="96">
        <v>2704</v>
      </c>
      <c r="O60" s="97">
        <v>0</v>
      </c>
      <c r="P60" s="95">
        <v>3000</v>
      </c>
      <c r="Q60" s="96">
        <v>1650</v>
      </c>
      <c r="R60" s="97">
        <v>0</v>
      </c>
      <c r="S60" s="95">
        <v>2000</v>
      </c>
      <c r="T60" s="96">
        <v>1450</v>
      </c>
      <c r="U60" s="97">
        <v>0</v>
      </c>
      <c r="V60" s="95">
        <v>3500</v>
      </c>
      <c r="W60" s="96">
        <v>3190</v>
      </c>
      <c r="X60" s="97">
        <v>0</v>
      </c>
      <c r="Y60" s="95">
        <v>2000</v>
      </c>
      <c r="Z60" s="96">
        <v>1010</v>
      </c>
      <c r="AA60" s="97">
        <v>0</v>
      </c>
      <c r="AB60" s="95">
        <v>1500</v>
      </c>
      <c r="AC60" s="96">
        <v>60</v>
      </c>
      <c r="AD60" s="97">
        <v>0</v>
      </c>
      <c r="AE60" s="95">
        <v>3500</v>
      </c>
      <c r="AF60" s="96">
        <v>3190</v>
      </c>
      <c r="AG60" s="97">
        <v>0</v>
      </c>
      <c r="AH60" s="265">
        <f>+Janvier!AJ60</f>
        <v>2337.1565934065934</v>
      </c>
      <c r="AI60" s="231">
        <f>+Janvier!AK60</f>
        <v>7271.1538461538466</v>
      </c>
      <c r="AJ60" s="231">
        <f>+Janvier!AL60</f>
        <v>5453.3653846153848</v>
      </c>
      <c r="AK60" s="231">
        <f>+Janvier!AM60</f>
        <v>5453.3653846153848</v>
      </c>
      <c r="AL60" s="231">
        <f>+Janvier!AN60</f>
        <v>3305.0699300699303</v>
      </c>
      <c r="AM60" s="231">
        <f>+Janvier!AO60</f>
        <v>2045.0120192307693</v>
      </c>
      <c r="AN60" s="231">
        <f>+Janvier!AP60</f>
        <v>4090.0240384615386</v>
      </c>
      <c r="AO60" s="231">
        <f>+Janvier!AQ60</f>
        <v>2045.0120192307693</v>
      </c>
      <c r="AP60" s="231">
        <f>+Janvier!AR60</f>
        <v>2045.0120192307693</v>
      </c>
      <c r="AQ60" s="231">
        <f>+Janvier!AS60</f>
        <v>3635.5769230769233</v>
      </c>
      <c r="AR60" s="16">
        <f t="shared" si="97"/>
        <v>2</v>
      </c>
      <c r="AS60" s="16">
        <f t="shared" si="98"/>
        <v>2</v>
      </c>
      <c r="AT60" s="16">
        <f t="shared" si="99"/>
        <v>3</v>
      </c>
      <c r="AU60" s="16">
        <f t="shared" si="100"/>
        <v>2</v>
      </c>
      <c r="AV60" s="16">
        <f t="shared" si="101"/>
        <v>2</v>
      </c>
      <c r="AW60" s="16">
        <f t="shared" si="102"/>
        <v>4</v>
      </c>
      <c r="AX60" s="16">
        <f t="shared" si="103"/>
        <v>4</v>
      </c>
      <c r="AY60" s="16">
        <f t="shared" si="104"/>
        <v>2</v>
      </c>
      <c r="AZ60" s="16">
        <f t="shared" si="105"/>
        <v>0</v>
      </c>
      <c r="BA60" s="17">
        <f t="shared" si="106"/>
        <v>4</v>
      </c>
    </row>
    <row r="61" spans="1:53" ht="15.6" x14ac:dyDescent="0.3">
      <c r="A61" s="199" t="s">
        <v>27</v>
      </c>
      <c r="B61" s="257">
        <v>43922</v>
      </c>
      <c r="C61" s="233">
        <v>43951</v>
      </c>
      <c r="D61" s="95">
        <v>2020</v>
      </c>
      <c r="E61" s="96">
        <v>740</v>
      </c>
      <c r="F61" s="97">
        <v>0</v>
      </c>
      <c r="G61" s="95">
        <v>4000</v>
      </c>
      <c r="H61" s="96">
        <v>1940</v>
      </c>
      <c r="I61" s="97">
        <v>0</v>
      </c>
      <c r="J61" s="95">
        <v>3100</v>
      </c>
      <c r="K61" s="96">
        <v>1530</v>
      </c>
      <c r="L61" s="97">
        <v>0</v>
      </c>
      <c r="M61" s="95">
        <v>3000</v>
      </c>
      <c r="N61" s="96">
        <v>1752</v>
      </c>
      <c r="O61" s="97">
        <v>0</v>
      </c>
      <c r="P61" s="95">
        <v>2000</v>
      </c>
      <c r="Q61" s="96">
        <v>949</v>
      </c>
      <c r="R61" s="97">
        <v>0</v>
      </c>
      <c r="S61" s="95">
        <v>1100</v>
      </c>
      <c r="T61" s="96">
        <v>620</v>
      </c>
      <c r="U61" s="97">
        <v>0</v>
      </c>
      <c r="V61" s="95">
        <v>2210</v>
      </c>
      <c r="W61" s="96">
        <v>1470</v>
      </c>
      <c r="X61" s="97">
        <v>0</v>
      </c>
      <c r="Y61" s="95">
        <v>1210</v>
      </c>
      <c r="Z61" s="96">
        <v>1210</v>
      </c>
      <c r="AA61" s="97">
        <v>0</v>
      </c>
      <c r="AB61" s="95">
        <v>1200</v>
      </c>
      <c r="AC61" s="96">
        <v>340</v>
      </c>
      <c r="AD61" s="97">
        <v>0</v>
      </c>
      <c r="AE61" s="95">
        <v>2240</v>
      </c>
      <c r="AF61" s="96">
        <v>2170</v>
      </c>
      <c r="AG61" s="97">
        <v>0</v>
      </c>
      <c r="AH61" s="265">
        <f>+Janvier!AJ61</f>
        <v>1836.5934065934064</v>
      </c>
      <c r="AI61" s="231">
        <f>+Janvier!AK61</f>
        <v>5713.8461538461534</v>
      </c>
      <c r="AJ61" s="231">
        <f>+Janvier!AL61</f>
        <v>4285.3846153846152</v>
      </c>
      <c r="AK61" s="231">
        <f>+Janvier!AM61</f>
        <v>4285.3846153846152</v>
      </c>
      <c r="AL61" s="231">
        <f>+Janvier!AN61</f>
        <v>2597.2027972027972</v>
      </c>
      <c r="AM61" s="231">
        <f>+Janvier!AO61</f>
        <v>1607.0192307692307</v>
      </c>
      <c r="AN61" s="231">
        <f>+Janvier!AP61</f>
        <v>3214.0384615384614</v>
      </c>
      <c r="AO61" s="231">
        <f>+Janvier!AQ61</f>
        <v>1607.0192307692307</v>
      </c>
      <c r="AP61" s="231">
        <f>+Janvier!AR61</f>
        <v>1607.0192307692307</v>
      </c>
      <c r="AQ61" s="231">
        <f>+Janvier!AS61</f>
        <v>2856.9230769230767</v>
      </c>
      <c r="AR61" s="16">
        <f t="shared" si="97"/>
        <v>2</v>
      </c>
      <c r="AS61" s="16">
        <f t="shared" si="98"/>
        <v>2</v>
      </c>
      <c r="AT61" s="16">
        <f t="shared" si="99"/>
        <v>2</v>
      </c>
      <c r="AU61" s="16">
        <f t="shared" si="100"/>
        <v>2</v>
      </c>
      <c r="AV61" s="16">
        <f t="shared" si="101"/>
        <v>2</v>
      </c>
      <c r="AW61" s="16">
        <f t="shared" si="102"/>
        <v>2</v>
      </c>
      <c r="AX61" s="16">
        <f t="shared" si="103"/>
        <v>2</v>
      </c>
      <c r="AY61" s="16">
        <f t="shared" si="104"/>
        <v>4</v>
      </c>
      <c r="AZ61" s="16">
        <f t="shared" si="105"/>
        <v>1</v>
      </c>
      <c r="BA61" s="17">
        <f t="shared" si="106"/>
        <v>4</v>
      </c>
    </row>
    <row r="62" spans="1:53" ht="15.6" x14ac:dyDescent="0.3">
      <c r="A62" s="199" t="s">
        <v>28</v>
      </c>
      <c r="B62" s="257">
        <v>43922</v>
      </c>
      <c r="C62" s="233">
        <v>43951</v>
      </c>
      <c r="D62" s="95">
        <v>3620</v>
      </c>
      <c r="E62" s="98">
        <v>800</v>
      </c>
      <c r="F62" s="97">
        <v>0</v>
      </c>
      <c r="G62" s="99">
        <v>10800</v>
      </c>
      <c r="H62" s="98">
        <v>4440</v>
      </c>
      <c r="I62" s="97">
        <v>0</v>
      </c>
      <c r="J62" s="99">
        <v>6100</v>
      </c>
      <c r="K62" s="98">
        <v>1710</v>
      </c>
      <c r="L62" s="97">
        <v>0</v>
      </c>
      <c r="M62" s="99">
        <v>7380</v>
      </c>
      <c r="N62" s="98">
        <v>2692</v>
      </c>
      <c r="O62" s="97">
        <v>0</v>
      </c>
      <c r="P62" s="99">
        <v>4950</v>
      </c>
      <c r="Q62" s="98">
        <v>1473</v>
      </c>
      <c r="R62" s="97">
        <v>0</v>
      </c>
      <c r="S62" s="99">
        <v>2560</v>
      </c>
      <c r="T62" s="98">
        <v>710</v>
      </c>
      <c r="U62" s="97">
        <v>0</v>
      </c>
      <c r="V62" s="99">
        <v>5000</v>
      </c>
      <c r="W62" s="98">
        <v>3790</v>
      </c>
      <c r="X62" s="97">
        <v>0</v>
      </c>
      <c r="Y62" s="99">
        <v>3400</v>
      </c>
      <c r="Z62" s="98">
        <v>850</v>
      </c>
      <c r="AA62" s="97">
        <v>0</v>
      </c>
      <c r="AB62" s="95">
        <v>2000</v>
      </c>
      <c r="AC62" s="98">
        <v>120</v>
      </c>
      <c r="AD62" s="100">
        <v>0</v>
      </c>
      <c r="AE62" s="99">
        <v>2550</v>
      </c>
      <c r="AF62" s="98">
        <v>3200</v>
      </c>
      <c r="AG62" s="97">
        <v>0</v>
      </c>
      <c r="AH62" s="265">
        <f>+Janvier!AJ62</f>
        <v>3546.2225274725279</v>
      </c>
      <c r="AI62" s="231">
        <f>+Janvier!AK62</f>
        <v>11032.692307692307</v>
      </c>
      <c r="AJ62" s="231">
        <f>+Janvier!AL62</f>
        <v>8274.5192307692305</v>
      </c>
      <c r="AK62" s="231">
        <f>+Janvier!AM62</f>
        <v>8274.5192307692305</v>
      </c>
      <c r="AL62" s="231">
        <f>+Janvier!AN62</f>
        <v>5014.8601398601395</v>
      </c>
      <c r="AM62" s="231">
        <f>+Janvier!AO62</f>
        <v>3102.9447115384614</v>
      </c>
      <c r="AN62" s="231">
        <f>+Janvier!AP62</f>
        <v>6205.8894230769229</v>
      </c>
      <c r="AO62" s="231">
        <f>+Janvier!AQ62</f>
        <v>3102.9447115384614</v>
      </c>
      <c r="AP62" s="231">
        <f>+Janvier!AR62</f>
        <v>3102.9447115384614</v>
      </c>
      <c r="AQ62" s="231">
        <f>+Janvier!AS62</f>
        <v>5516.3461538461534</v>
      </c>
      <c r="AR62" s="16">
        <f t="shared" si="97"/>
        <v>1</v>
      </c>
      <c r="AS62" s="16">
        <f t="shared" si="98"/>
        <v>2</v>
      </c>
      <c r="AT62" s="16">
        <f t="shared" si="99"/>
        <v>1</v>
      </c>
      <c r="AU62" s="16">
        <f t="shared" si="100"/>
        <v>2</v>
      </c>
      <c r="AV62" s="16">
        <f t="shared" si="101"/>
        <v>1</v>
      </c>
      <c r="AW62" s="16">
        <f t="shared" si="102"/>
        <v>1</v>
      </c>
      <c r="AX62" s="16">
        <f t="shared" si="103"/>
        <v>3</v>
      </c>
      <c r="AY62" s="16">
        <f t="shared" si="104"/>
        <v>1</v>
      </c>
      <c r="AZ62" s="16">
        <f t="shared" si="105"/>
        <v>0</v>
      </c>
      <c r="BA62" s="17">
        <f t="shared" si="106"/>
        <v>3</v>
      </c>
    </row>
    <row r="63" spans="1:53" ht="15.6" x14ac:dyDescent="0.3">
      <c r="A63" s="199" t="s">
        <v>29</v>
      </c>
      <c r="B63" s="257">
        <v>43922</v>
      </c>
      <c r="C63" s="233">
        <v>43951</v>
      </c>
      <c r="D63" s="95">
        <v>1700</v>
      </c>
      <c r="E63" s="98">
        <v>860</v>
      </c>
      <c r="F63" s="97">
        <v>0</v>
      </c>
      <c r="G63" s="99">
        <v>4000</v>
      </c>
      <c r="H63" s="98">
        <v>2940</v>
      </c>
      <c r="I63" s="97">
        <v>0</v>
      </c>
      <c r="J63" s="99">
        <v>3700</v>
      </c>
      <c r="K63" s="98">
        <v>2590</v>
      </c>
      <c r="L63" s="97">
        <v>0</v>
      </c>
      <c r="M63" s="99">
        <v>3432</v>
      </c>
      <c r="N63" s="98">
        <v>2580</v>
      </c>
      <c r="O63" s="97">
        <v>0</v>
      </c>
      <c r="P63" s="99">
        <v>2350</v>
      </c>
      <c r="Q63" s="98">
        <v>1600</v>
      </c>
      <c r="R63" s="97">
        <v>0</v>
      </c>
      <c r="S63" s="99">
        <v>1140</v>
      </c>
      <c r="T63" s="98">
        <v>980</v>
      </c>
      <c r="U63" s="97">
        <v>0</v>
      </c>
      <c r="V63" s="99">
        <v>2350</v>
      </c>
      <c r="W63" s="98">
        <v>2050</v>
      </c>
      <c r="X63" s="97">
        <v>0</v>
      </c>
      <c r="Y63" s="99">
        <v>1540</v>
      </c>
      <c r="Z63" s="98">
        <v>500</v>
      </c>
      <c r="AA63" s="97">
        <v>0</v>
      </c>
      <c r="AB63" s="95">
        <v>2000</v>
      </c>
      <c r="AC63" s="98">
        <v>260</v>
      </c>
      <c r="AD63" s="97">
        <v>0</v>
      </c>
      <c r="AE63" s="99">
        <v>3000</v>
      </c>
      <c r="AF63" s="98">
        <v>2050</v>
      </c>
      <c r="AG63" s="97">
        <v>0</v>
      </c>
      <c r="AH63" s="265">
        <f>+Janvier!AJ63</f>
        <v>2493.4203296703299</v>
      </c>
      <c r="AI63" s="231">
        <f>+Janvier!AK63</f>
        <v>7757.3076923076942</v>
      </c>
      <c r="AJ63" s="231">
        <f>+Janvier!AL63</f>
        <v>5817.9807692307704</v>
      </c>
      <c r="AK63" s="231">
        <f>+Janvier!AM63</f>
        <v>5817.9807692307704</v>
      </c>
      <c r="AL63" s="231">
        <f>+Janvier!AN63</f>
        <v>3526.0489510489515</v>
      </c>
      <c r="AM63" s="231">
        <f>+Janvier!AO63</f>
        <v>2181.7427884615386</v>
      </c>
      <c r="AN63" s="231">
        <f>+Janvier!AP63</f>
        <v>4363.4855769230771</v>
      </c>
      <c r="AO63" s="231">
        <f>+Janvier!AQ63</f>
        <v>2181.7427884615386</v>
      </c>
      <c r="AP63" s="231">
        <f>+Janvier!AR63</f>
        <v>2181.7427884615386</v>
      </c>
      <c r="AQ63" s="231">
        <f>+Janvier!AS63</f>
        <v>3878.6538461538471</v>
      </c>
      <c r="AR63" s="16">
        <f t="shared" si="97"/>
        <v>2</v>
      </c>
      <c r="AS63" s="16">
        <f t="shared" si="98"/>
        <v>2</v>
      </c>
      <c r="AT63" s="16">
        <f t="shared" si="99"/>
        <v>2</v>
      </c>
      <c r="AU63" s="16">
        <f t="shared" si="100"/>
        <v>2</v>
      </c>
      <c r="AV63" s="16">
        <f t="shared" si="101"/>
        <v>2</v>
      </c>
      <c r="AW63" s="16">
        <f t="shared" si="102"/>
        <v>2</v>
      </c>
      <c r="AX63" s="16">
        <f t="shared" si="103"/>
        <v>2</v>
      </c>
      <c r="AY63" s="16">
        <f t="shared" si="104"/>
        <v>1</v>
      </c>
      <c r="AZ63" s="16">
        <f t="shared" si="105"/>
        <v>1</v>
      </c>
      <c r="BA63" s="17">
        <f t="shared" si="106"/>
        <v>3</v>
      </c>
    </row>
    <row r="64" spans="1:53" ht="15.6" x14ac:dyDescent="0.3">
      <c r="A64" s="199" t="s">
        <v>30</v>
      </c>
      <c r="B64" s="257">
        <v>43922</v>
      </c>
      <c r="C64" s="233">
        <v>43951</v>
      </c>
      <c r="D64" s="95">
        <v>1000</v>
      </c>
      <c r="E64" s="98">
        <v>720</v>
      </c>
      <c r="F64" s="97">
        <v>0</v>
      </c>
      <c r="G64" s="99">
        <v>3000</v>
      </c>
      <c r="H64" s="98">
        <v>2300</v>
      </c>
      <c r="I64" s="97">
        <v>0</v>
      </c>
      <c r="J64" s="99">
        <v>2200</v>
      </c>
      <c r="K64" s="98">
        <v>1630</v>
      </c>
      <c r="L64" s="97">
        <v>0</v>
      </c>
      <c r="M64" s="99">
        <v>2000</v>
      </c>
      <c r="N64" s="98">
        <v>1192</v>
      </c>
      <c r="O64" s="97">
        <v>0</v>
      </c>
      <c r="P64" s="99">
        <v>1500</v>
      </c>
      <c r="Q64" s="98">
        <v>884</v>
      </c>
      <c r="R64" s="97">
        <v>0</v>
      </c>
      <c r="S64" s="99">
        <v>1000</v>
      </c>
      <c r="T64" s="98">
        <v>870</v>
      </c>
      <c r="U64" s="97">
        <v>0</v>
      </c>
      <c r="V64" s="99">
        <v>1000</v>
      </c>
      <c r="W64" s="98">
        <v>1430</v>
      </c>
      <c r="X64" s="97">
        <v>0</v>
      </c>
      <c r="Y64" s="99">
        <v>1500</v>
      </c>
      <c r="Z64" s="98">
        <v>890</v>
      </c>
      <c r="AA64" s="97">
        <v>0</v>
      </c>
      <c r="AB64" s="95">
        <v>100</v>
      </c>
      <c r="AC64" s="98">
        <v>0</v>
      </c>
      <c r="AD64" s="97">
        <v>3</v>
      </c>
      <c r="AE64" s="99">
        <v>1000</v>
      </c>
      <c r="AF64" s="98">
        <v>2500</v>
      </c>
      <c r="AG64" s="97">
        <v>0</v>
      </c>
      <c r="AH64" s="265">
        <f>+Janvier!AJ64</f>
        <v>1338.1318681318683</v>
      </c>
      <c r="AI64" s="231">
        <f>+Janvier!AK64</f>
        <v>4163.0769230769229</v>
      </c>
      <c r="AJ64" s="231">
        <f>+Janvier!AL64</f>
        <v>3122.3076923076928</v>
      </c>
      <c r="AK64" s="231">
        <f>+Janvier!AM64</f>
        <v>3122.3076923076928</v>
      </c>
      <c r="AL64" s="231">
        <f>+Janvier!AN64</f>
        <v>1892.3076923076926</v>
      </c>
      <c r="AM64" s="231">
        <f>+Janvier!AO64</f>
        <v>1170.8653846153848</v>
      </c>
      <c r="AN64" s="231">
        <f>+Janvier!AP64</f>
        <v>2341.7307692307695</v>
      </c>
      <c r="AO64" s="231">
        <f>+Janvier!AQ64</f>
        <v>1170.8653846153848</v>
      </c>
      <c r="AP64" s="231">
        <f>+Janvier!AR64</f>
        <v>1170.8653846153848</v>
      </c>
      <c r="AQ64" s="231">
        <f>+Janvier!AS64</f>
        <v>2081.5384615384614</v>
      </c>
      <c r="AR64" s="16">
        <f t="shared" si="97"/>
        <v>3</v>
      </c>
      <c r="AS64" s="16">
        <f t="shared" si="98"/>
        <v>3</v>
      </c>
      <c r="AT64" s="16">
        <f t="shared" si="99"/>
        <v>3</v>
      </c>
      <c r="AU64" s="16">
        <f t="shared" si="100"/>
        <v>2</v>
      </c>
      <c r="AV64" s="16">
        <f t="shared" si="101"/>
        <v>2</v>
      </c>
      <c r="AW64" s="16">
        <f t="shared" si="102"/>
        <v>4</v>
      </c>
      <c r="AX64" s="16">
        <f t="shared" si="103"/>
        <v>3</v>
      </c>
      <c r="AY64" s="16">
        <f t="shared" si="104"/>
        <v>4</v>
      </c>
      <c r="AZ64" s="16">
        <f t="shared" si="105"/>
        <v>0</v>
      </c>
      <c r="BA64" s="17">
        <f t="shared" si="106"/>
        <v>6</v>
      </c>
    </row>
    <row r="65" spans="1:53" ht="15.6" x14ac:dyDescent="0.3">
      <c r="A65" s="199" t="s">
        <v>31</v>
      </c>
      <c r="B65" s="257">
        <v>43922</v>
      </c>
      <c r="C65" s="233">
        <v>43951</v>
      </c>
      <c r="D65" s="95">
        <v>1200</v>
      </c>
      <c r="E65" s="98">
        <v>480</v>
      </c>
      <c r="F65" s="97">
        <v>0</v>
      </c>
      <c r="G65" s="99">
        <v>2500</v>
      </c>
      <c r="H65" s="98">
        <v>1680</v>
      </c>
      <c r="I65" s="97">
        <v>0</v>
      </c>
      <c r="J65" s="99">
        <v>3300</v>
      </c>
      <c r="K65" s="98">
        <v>2950</v>
      </c>
      <c r="L65" s="97">
        <v>0</v>
      </c>
      <c r="M65" s="99">
        <v>4000</v>
      </c>
      <c r="N65" s="98">
        <v>3600</v>
      </c>
      <c r="O65" s="97">
        <v>0</v>
      </c>
      <c r="P65" s="99">
        <v>2000</v>
      </c>
      <c r="Q65" s="98">
        <v>1925</v>
      </c>
      <c r="R65" s="97">
        <v>0</v>
      </c>
      <c r="S65" s="99">
        <v>1000</v>
      </c>
      <c r="T65" s="98">
        <v>870</v>
      </c>
      <c r="U65" s="97">
        <v>0</v>
      </c>
      <c r="V65" s="99">
        <v>3000</v>
      </c>
      <c r="W65" s="98">
        <v>2470</v>
      </c>
      <c r="X65" s="97">
        <v>0</v>
      </c>
      <c r="Y65" s="99">
        <v>2000</v>
      </c>
      <c r="Z65" s="98">
        <v>1650</v>
      </c>
      <c r="AA65" s="97">
        <v>0</v>
      </c>
      <c r="AB65" s="95">
        <v>2000</v>
      </c>
      <c r="AC65" s="98">
        <v>720</v>
      </c>
      <c r="AD65" s="97">
        <v>0</v>
      </c>
      <c r="AE65" s="99">
        <v>3000</v>
      </c>
      <c r="AF65" s="98">
        <v>2150</v>
      </c>
      <c r="AG65" s="97">
        <v>0</v>
      </c>
      <c r="AH65" s="265">
        <f>+Janvier!AJ65</f>
        <v>2561.7857142857147</v>
      </c>
      <c r="AI65" s="231">
        <f>+Janvier!AK65</f>
        <v>7970</v>
      </c>
      <c r="AJ65" s="231">
        <f>+Janvier!AL65</f>
        <v>5977.4999999999991</v>
      </c>
      <c r="AK65" s="231">
        <f>+Janvier!AM65</f>
        <v>5977.4999999999991</v>
      </c>
      <c r="AL65" s="231">
        <f>+Janvier!AN65</f>
        <v>3622.727272727273</v>
      </c>
      <c r="AM65" s="231">
        <f>+Janvier!AO65</f>
        <v>2241.5625</v>
      </c>
      <c r="AN65" s="231">
        <f>+Janvier!AP65</f>
        <v>4483.125</v>
      </c>
      <c r="AO65" s="231">
        <f>+Janvier!AQ65</f>
        <v>2241.5625</v>
      </c>
      <c r="AP65" s="231">
        <f>+Janvier!AR65</f>
        <v>2241.5625</v>
      </c>
      <c r="AQ65" s="231">
        <f>+Janvier!AS65</f>
        <v>3985</v>
      </c>
      <c r="AR65" s="16">
        <f t="shared" si="97"/>
        <v>1</v>
      </c>
      <c r="AS65" s="16">
        <f t="shared" si="98"/>
        <v>1</v>
      </c>
      <c r="AT65" s="16">
        <f t="shared" si="99"/>
        <v>2</v>
      </c>
      <c r="AU65" s="16">
        <f t="shared" si="100"/>
        <v>3</v>
      </c>
      <c r="AV65" s="16">
        <f t="shared" si="101"/>
        <v>3</v>
      </c>
      <c r="AW65" s="16">
        <f t="shared" si="102"/>
        <v>2</v>
      </c>
      <c r="AX65" s="16">
        <f t="shared" si="103"/>
        <v>3</v>
      </c>
      <c r="AY65" s="16">
        <f t="shared" si="104"/>
        <v>4</v>
      </c>
      <c r="AZ65" s="16">
        <f t="shared" si="105"/>
        <v>2</v>
      </c>
      <c r="BA65" s="17">
        <f t="shared" si="106"/>
        <v>3</v>
      </c>
    </row>
    <row r="66" spans="1:53" ht="15.6" x14ac:dyDescent="0.3">
      <c r="A66" s="199" t="s">
        <v>32</v>
      </c>
      <c r="B66" s="257">
        <v>43922</v>
      </c>
      <c r="C66" s="233">
        <v>43951</v>
      </c>
      <c r="D66" s="95">
        <v>2240</v>
      </c>
      <c r="E66" s="98">
        <v>1040</v>
      </c>
      <c r="F66" s="97">
        <v>0</v>
      </c>
      <c r="G66" s="99">
        <v>3640</v>
      </c>
      <c r="H66" s="98">
        <v>680</v>
      </c>
      <c r="I66" s="97">
        <v>0</v>
      </c>
      <c r="J66" s="99">
        <v>3000</v>
      </c>
      <c r="K66" s="98">
        <v>700</v>
      </c>
      <c r="L66" s="97">
        <v>0</v>
      </c>
      <c r="M66" s="99">
        <v>2452</v>
      </c>
      <c r="N66" s="98">
        <v>788</v>
      </c>
      <c r="O66" s="97">
        <v>0</v>
      </c>
      <c r="P66" s="99">
        <v>1950</v>
      </c>
      <c r="Q66" s="98">
        <v>415</v>
      </c>
      <c r="R66" s="97">
        <v>0</v>
      </c>
      <c r="S66" s="99">
        <v>1550</v>
      </c>
      <c r="T66" s="98">
        <v>920</v>
      </c>
      <c r="U66" s="97">
        <v>0</v>
      </c>
      <c r="V66" s="99">
        <v>600</v>
      </c>
      <c r="W66" s="98">
        <v>1030</v>
      </c>
      <c r="X66" s="97">
        <v>0</v>
      </c>
      <c r="Y66" s="99">
        <v>1650</v>
      </c>
      <c r="Z66" s="98">
        <v>780</v>
      </c>
      <c r="AA66" s="97">
        <v>0</v>
      </c>
      <c r="AB66" s="95">
        <v>2000</v>
      </c>
      <c r="AC66" s="98">
        <v>240</v>
      </c>
      <c r="AD66" s="97">
        <v>0</v>
      </c>
      <c r="AE66" s="99">
        <v>1200</v>
      </c>
      <c r="AF66" s="98">
        <v>840</v>
      </c>
      <c r="AG66" s="97">
        <v>0</v>
      </c>
      <c r="AH66" s="265">
        <f>+Janvier!AJ66</f>
        <v>1732.3763736263736</v>
      </c>
      <c r="AI66" s="231">
        <f>+Janvier!AK66</f>
        <v>5389.6153846153857</v>
      </c>
      <c r="AJ66" s="231">
        <f>+Janvier!AL66</f>
        <v>4042.211538461539</v>
      </c>
      <c r="AK66" s="231">
        <f>+Janvier!AM66</f>
        <v>4042.211538461539</v>
      </c>
      <c r="AL66" s="231">
        <f>+Janvier!AN66</f>
        <v>2449.8251748251751</v>
      </c>
      <c r="AM66" s="231">
        <f>+Janvier!AO66</f>
        <v>1515.8293269230767</v>
      </c>
      <c r="AN66" s="231">
        <f>+Janvier!AP66</f>
        <v>3031.6586538461534</v>
      </c>
      <c r="AO66" s="231">
        <f>+Janvier!AQ66</f>
        <v>1515.8293269230767</v>
      </c>
      <c r="AP66" s="231">
        <f>+Janvier!AR66</f>
        <v>1515.8293269230767</v>
      </c>
      <c r="AQ66" s="231">
        <f>+Janvier!AS66</f>
        <v>2694.8076923076928</v>
      </c>
      <c r="AR66" s="16">
        <f t="shared" si="97"/>
        <v>3</v>
      </c>
      <c r="AS66" s="16">
        <f t="shared" si="98"/>
        <v>1</v>
      </c>
      <c r="AT66" s="16">
        <f t="shared" si="99"/>
        <v>1</v>
      </c>
      <c r="AU66" s="16">
        <f t="shared" si="100"/>
        <v>1</v>
      </c>
      <c r="AV66" s="16">
        <f t="shared" si="101"/>
        <v>1</v>
      </c>
      <c r="AW66" s="16">
        <f t="shared" si="102"/>
        <v>3</v>
      </c>
      <c r="AX66" s="16">
        <f t="shared" si="103"/>
        <v>2</v>
      </c>
      <c r="AY66" s="16">
        <f t="shared" si="104"/>
        <v>3</v>
      </c>
      <c r="AZ66" s="16">
        <f t="shared" si="105"/>
        <v>1</v>
      </c>
      <c r="BA66" s="17">
        <f t="shared" si="106"/>
        <v>2</v>
      </c>
    </row>
    <row r="67" spans="1:53" ht="16.2" thickBot="1" x14ac:dyDescent="0.35">
      <c r="A67" s="199" t="s">
        <v>33</v>
      </c>
      <c r="B67" s="270">
        <v>43922</v>
      </c>
      <c r="C67" s="271">
        <v>43951</v>
      </c>
      <c r="D67" s="111">
        <v>1400</v>
      </c>
      <c r="E67" s="263">
        <v>920</v>
      </c>
      <c r="F67" s="110">
        <v>0</v>
      </c>
      <c r="G67" s="264">
        <v>2200</v>
      </c>
      <c r="H67" s="263">
        <v>2340</v>
      </c>
      <c r="I67" s="110">
        <v>0</v>
      </c>
      <c r="J67" s="264">
        <v>1600</v>
      </c>
      <c r="K67" s="263">
        <v>1430</v>
      </c>
      <c r="L67" s="110">
        <v>0</v>
      </c>
      <c r="M67" s="264">
        <v>2000</v>
      </c>
      <c r="N67" s="263">
        <v>1976</v>
      </c>
      <c r="O67" s="110">
        <v>0</v>
      </c>
      <c r="P67" s="264">
        <v>1600</v>
      </c>
      <c r="Q67" s="263">
        <v>1150</v>
      </c>
      <c r="R67" s="110">
        <v>0</v>
      </c>
      <c r="S67" s="264">
        <v>600</v>
      </c>
      <c r="T67" s="263">
        <v>550</v>
      </c>
      <c r="U67" s="110">
        <v>0</v>
      </c>
      <c r="V67" s="264">
        <v>2000</v>
      </c>
      <c r="W67" s="263">
        <v>1800</v>
      </c>
      <c r="X67" s="110">
        <v>0</v>
      </c>
      <c r="Y67" s="264">
        <v>600</v>
      </c>
      <c r="Z67" s="263">
        <v>830</v>
      </c>
      <c r="AA67" s="110">
        <v>0</v>
      </c>
      <c r="AB67" s="111">
        <v>800</v>
      </c>
      <c r="AC67" s="263">
        <v>520</v>
      </c>
      <c r="AD67" s="110">
        <v>0</v>
      </c>
      <c r="AE67" s="266">
        <v>1200</v>
      </c>
      <c r="AF67" s="267">
        <v>1480</v>
      </c>
      <c r="AG67" s="261">
        <v>0</v>
      </c>
      <c r="AH67" s="265">
        <f>+Janvier!AJ67</f>
        <v>1391.4148351648353</v>
      </c>
      <c r="AI67" s="231">
        <f>+Janvier!AK67</f>
        <v>4328.8461538461534</v>
      </c>
      <c r="AJ67" s="231">
        <f>+Janvier!AL67</f>
        <v>3246.6346153846152</v>
      </c>
      <c r="AK67" s="231">
        <f>+Janvier!AM67</f>
        <v>3246.6346153846152</v>
      </c>
      <c r="AL67" s="231">
        <f>+Janvier!AN67</f>
        <v>1967.6573426573427</v>
      </c>
      <c r="AM67" s="231">
        <f>+Janvier!AO67</f>
        <v>1217.4879807692307</v>
      </c>
      <c r="AN67" s="231">
        <f>+Janvier!AP67</f>
        <v>2434.9759615384614</v>
      </c>
      <c r="AO67" s="231">
        <f>+Janvier!AQ67</f>
        <v>1217.4879807692307</v>
      </c>
      <c r="AP67" s="231">
        <f>+Janvier!AR67</f>
        <v>1217.4879807692307</v>
      </c>
      <c r="AQ67" s="231">
        <f>+Janvier!AS67</f>
        <v>2164.4230769230767</v>
      </c>
      <c r="AR67" s="32">
        <f t="shared" si="97"/>
        <v>3</v>
      </c>
      <c r="AS67" s="32">
        <f t="shared" si="98"/>
        <v>3</v>
      </c>
      <c r="AT67" s="32">
        <f t="shared" si="99"/>
        <v>2</v>
      </c>
      <c r="AU67" s="32">
        <f t="shared" si="100"/>
        <v>3</v>
      </c>
      <c r="AV67" s="32">
        <f t="shared" si="101"/>
        <v>3</v>
      </c>
      <c r="AW67" s="32">
        <f t="shared" si="102"/>
        <v>2</v>
      </c>
      <c r="AX67" s="32">
        <f t="shared" si="103"/>
        <v>4</v>
      </c>
      <c r="AY67" s="32">
        <f t="shared" si="104"/>
        <v>3</v>
      </c>
      <c r="AZ67" s="32">
        <f t="shared" si="105"/>
        <v>2</v>
      </c>
      <c r="BA67" s="33">
        <f t="shared" si="106"/>
        <v>3</v>
      </c>
    </row>
    <row r="68" spans="1:53" ht="15.6" x14ac:dyDescent="0.3">
      <c r="A68" s="202" t="s">
        <v>86</v>
      </c>
      <c r="B68" s="256">
        <v>43922</v>
      </c>
      <c r="C68" s="160">
        <v>43951</v>
      </c>
      <c r="D68" s="268">
        <v>55000</v>
      </c>
      <c r="E68" s="123">
        <f>39160+55000</f>
        <v>94160</v>
      </c>
      <c r="F68" s="124">
        <v>0</v>
      </c>
      <c r="G68" s="125">
        <v>92500</v>
      </c>
      <c r="H68" s="123">
        <f>174040+92500</f>
        <v>266540</v>
      </c>
      <c r="I68" s="124">
        <v>0</v>
      </c>
      <c r="J68" s="125">
        <v>84400</v>
      </c>
      <c r="K68" s="123">
        <f>115310+J68</f>
        <v>199710</v>
      </c>
      <c r="L68" s="124">
        <v>0</v>
      </c>
      <c r="M68" s="125">
        <v>65600</v>
      </c>
      <c r="N68" s="123">
        <f>134200+M68</f>
        <v>199800</v>
      </c>
      <c r="O68" s="124">
        <v>0</v>
      </c>
      <c r="P68" s="125">
        <v>67700</v>
      </c>
      <c r="Q68" s="123">
        <f>62300+P68</f>
        <v>130000</v>
      </c>
      <c r="R68" s="124">
        <v>0</v>
      </c>
      <c r="S68" s="125">
        <v>16000</v>
      </c>
      <c r="T68" s="123">
        <f>50860+S68</f>
        <v>66860</v>
      </c>
      <c r="U68" s="124">
        <v>0</v>
      </c>
      <c r="V68" s="125">
        <v>49000</v>
      </c>
      <c r="W68" s="123">
        <f>110450+49000</f>
        <v>159450</v>
      </c>
      <c r="X68" s="124">
        <v>0</v>
      </c>
      <c r="Y68" s="125">
        <v>35000</v>
      </c>
      <c r="Z68" s="123">
        <f>16720+Y68</f>
        <v>51720</v>
      </c>
      <c r="AA68" s="124">
        <v>0</v>
      </c>
      <c r="AB68" s="125">
        <v>25000</v>
      </c>
      <c r="AC68" s="123">
        <f>1940+AB68</f>
        <v>26940</v>
      </c>
      <c r="AD68" s="124">
        <v>0</v>
      </c>
      <c r="AE68" s="125">
        <v>65000</v>
      </c>
      <c r="AF68" s="123">
        <f>74850+AE68</f>
        <v>139850</v>
      </c>
      <c r="AG68" s="124">
        <v>0</v>
      </c>
      <c r="AH68" s="265">
        <f>+Janvier!AJ68</f>
        <v>88119.9</v>
      </c>
      <c r="AI68" s="231">
        <f>+Janvier!AK68</f>
        <v>305254.47115384619</v>
      </c>
      <c r="AJ68" s="231">
        <f>+Janvier!AL68</f>
        <v>203299.47778846158</v>
      </c>
      <c r="AK68" s="231">
        <f>+Janvier!AM68</f>
        <v>203299.47778846158</v>
      </c>
      <c r="AL68" s="231">
        <f>+Janvier!AN68</f>
        <v>128206.87788461539</v>
      </c>
      <c r="AM68" s="231">
        <f>+Janvier!AO68</f>
        <v>76313.617788461546</v>
      </c>
      <c r="AN68" s="231">
        <f>+Janvier!AP68</f>
        <v>152627.23557692309</v>
      </c>
      <c r="AO68" s="231">
        <f>+Janvier!AQ68</f>
        <v>76313.617788461546</v>
      </c>
      <c r="AP68" s="231">
        <f>+Janvier!AR68</f>
        <v>76313.617788461546</v>
      </c>
      <c r="AQ68" s="231">
        <f>+Janvier!AS68</f>
        <v>136801.52307692307</v>
      </c>
      <c r="AR68" s="16">
        <f>ROUND(E68/(AH68/15),0)</f>
        <v>16</v>
      </c>
      <c r="AS68" s="16">
        <f t="shared" ref="AS68" si="107">ROUND(H68/(AI68/15),0)</f>
        <v>13</v>
      </c>
      <c r="AT68" s="16">
        <f t="shared" ref="AT68" si="108">ROUND(K68/(AJ68/15),0)</f>
        <v>15</v>
      </c>
      <c r="AU68" s="16">
        <f t="shared" ref="AU68" si="109">ROUND(N68/(AK68/15),0)</f>
        <v>15</v>
      </c>
      <c r="AV68" s="16">
        <f t="shared" ref="AV68" si="110">ROUND(Q68/(AL68/15),0)</f>
        <v>15</v>
      </c>
      <c r="AW68" s="16">
        <f t="shared" ref="AW68" si="111">ROUND(T68/(AM68/15),0)</f>
        <v>13</v>
      </c>
      <c r="AX68" s="16">
        <f t="shared" ref="AX68" si="112">ROUND(W68/(AN68/15),0)</f>
        <v>16</v>
      </c>
      <c r="AY68" s="16">
        <f t="shared" ref="AY68" si="113">ROUND(Z68/(AO68/15),0)</f>
        <v>10</v>
      </c>
      <c r="AZ68" s="328">
        <f t="shared" ref="AZ68" si="114">ROUND(AC68/(AP68/15),0)</f>
        <v>5</v>
      </c>
      <c r="BA68" s="17">
        <f t="shared" ref="BA68" si="115">ROUND(AF68/(AQ68/15),0)</f>
        <v>15</v>
      </c>
    </row>
    <row r="69" spans="1:53" ht="15.6" x14ac:dyDescent="0.3">
      <c r="A69" s="199" t="s">
        <v>63</v>
      </c>
      <c r="B69" s="257">
        <v>43922</v>
      </c>
      <c r="C69" s="94">
        <v>43951</v>
      </c>
      <c r="D69" s="237">
        <v>1000</v>
      </c>
      <c r="E69" s="96">
        <v>0</v>
      </c>
      <c r="F69" s="97">
        <v>0</v>
      </c>
      <c r="G69" s="95">
        <v>2000</v>
      </c>
      <c r="H69" s="96">
        <v>460</v>
      </c>
      <c r="I69" s="97">
        <v>0</v>
      </c>
      <c r="J69" s="95">
        <v>2120</v>
      </c>
      <c r="K69" s="96">
        <v>70</v>
      </c>
      <c r="L69" s="97">
        <v>0</v>
      </c>
      <c r="M69" s="95">
        <v>1600</v>
      </c>
      <c r="N69" s="96">
        <v>380</v>
      </c>
      <c r="O69" s="97">
        <v>0</v>
      </c>
      <c r="P69" s="95">
        <v>500</v>
      </c>
      <c r="Q69" s="96">
        <v>2</v>
      </c>
      <c r="R69" s="97">
        <v>0</v>
      </c>
      <c r="S69" s="95">
        <v>2100</v>
      </c>
      <c r="T69" s="96">
        <v>380</v>
      </c>
      <c r="U69" s="97">
        <v>0</v>
      </c>
      <c r="V69" s="95">
        <v>1000</v>
      </c>
      <c r="W69" s="96">
        <v>630</v>
      </c>
      <c r="X69" s="97">
        <v>0</v>
      </c>
      <c r="Y69" s="95">
        <v>500</v>
      </c>
      <c r="Z69" s="96">
        <v>150</v>
      </c>
      <c r="AA69" s="97">
        <v>0</v>
      </c>
      <c r="AB69" s="95">
        <v>170</v>
      </c>
      <c r="AC69" s="96">
        <v>100</v>
      </c>
      <c r="AD69" s="97">
        <v>0</v>
      </c>
      <c r="AE69" s="95">
        <v>1000</v>
      </c>
      <c r="AF69" s="96">
        <v>100</v>
      </c>
      <c r="AG69" s="97">
        <v>0</v>
      </c>
      <c r="AH69" s="265">
        <f>+Janvier!AJ69</f>
        <v>792.19780219780216</v>
      </c>
      <c r="AI69" s="231">
        <f>+Janvier!AK69</f>
        <v>2464.6153846153848</v>
      </c>
      <c r="AJ69" s="231">
        <f>+Janvier!AL69</f>
        <v>1848.4615384615383</v>
      </c>
      <c r="AK69" s="231">
        <f>+Janvier!AM69</f>
        <v>1848.4615384615383</v>
      </c>
      <c r="AL69" s="231">
        <f>+Janvier!AN69</f>
        <v>1120.2797202797203</v>
      </c>
      <c r="AM69" s="231">
        <f>+Janvier!AO69</f>
        <v>693.17307692307691</v>
      </c>
      <c r="AN69" s="231">
        <f>+Janvier!AP69</f>
        <v>1386.3461538461538</v>
      </c>
      <c r="AO69" s="231">
        <f>+Janvier!AQ69</f>
        <v>693.17307692307691</v>
      </c>
      <c r="AP69" s="231">
        <f>+Janvier!AR69</f>
        <v>693.17307692307691</v>
      </c>
      <c r="AQ69" s="231">
        <f>+Janvier!AS69</f>
        <v>1232.3076923076924</v>
      </c>
      <c r="AR69" s="16">
        <f t="shared" ref="AR69:AR79" si="116">ROUND(E69/(AH69/5),0)</f>
        <v>0</v>
      </c>
      <c r="AS69" s="16">
        <f t="shared" ref="AS69:AS79" si="117">ROUND(H69/(AI69/5),0)</f>
        <v>1</v>
      </c>
      <c r="AT69" s="16">
        <f t="shared" ref="AT69:AT79" si="118">ROUND(K69/(AJ69/5),0)</f>
        <v>0</v>
      </c>
      <c r="AU69" s="16">
        <f t="shared" ref="AU69:AU79" si="119">ROUND(N69/(AK69/5),0)</f>
        <v>1</v>
      </c>
      <c r="AV69" s="16">
        <f t="shared" ref="AV69:AV79" si="120">ROUND(Q69/(AL69/5),0)</f>
        <v>0</v>
      </c>
      <c r="AW69" s="16">
        <f t="shared" ref="AW69:AW79" si="121">ROUND(T69/(AM69/5),0)</f>
        <v>3</v>
      </c>
      <c r="AX69" s="16">
        <f t="shared" ref="AX69:AX79" si="122">ROUND(W69/(AN69/5),0)</f>
        <v>2</v>
      </c>
      <c r="AY69" s="16">
        <f t="shared" ref="AY69:AY79" si="123">ROUND(Z69/(AO69/5),0)</f>
        <v>1</v>
      </c>
      <c r="AZ69" s="16">
        <f t="shared" ref="AZ69:AZ79" si="124">ROUND(AC69/(AP69/5),0)</f>
        <v>1</v>
      </c>
      <c r="BA69" s="17">
        <f t="shared" ref="BA69:BA79" si="125">ROUND(AF69/(AQ69/5),0)</f>
        <v>0</v>
      </c>
    </row>
    <row r="70" spans="1:53" ht="15.6" x14ac:dyDescent="0.3">
      <c r="A70" s="199" t="s">
        <v>64</v>
      </c>
      <c r="B70" s="257">
        <v>43922</v>
      </c>
      <c r="C70" s="94">
        <v>43951</v>
      </c>
      <c r="D70" s="237">
        <v>2000</v>
      </c>
      <c r="E70" s="96">
        <v>360</v>
      </c>
      <c r="F70" s="97">
        <v>0</v>
      </c>
      <c r="G70" s="95">
        <v>4360</v>
      </c>
      <c r="H70" s="96">
        <v>1620</v>
      </c>
      <c r="I70" s="97">
        <v>0</v>
      </c>
      <c r="J70" s="95">
        <v>3180</v>
      </c>
      <c r="K70" s="96">
        <v>1300</v>
      </c>
      <c r="L70" s="97">
        <v>0</v>
      </c>
      <c r="M70" s="95">
        <v>3880</v>
      </c>
      <c r="N70" s="96">
        <v>600</v>
      </c>
      <c r="O70" s="97">
        <v>0</v>
      </c>
      <c r="P70" s="95">
        <v>2123</v>
      </c>
      <c r="Q70" s="96">
        <v>750</v>
      </c>
      <c r="R70" s="97">
        <v>0</v>
      </c>
      <c r="S70" s="95">
        <v>1300</v>
      </c>
      <c r="T70" s="96">
        <v>200</v>
      </c>
      <c r="U70" s="97">
        <v>0</v>
      </c>
      <c r="V70" s="95">
        <v>3040</v>
      </c>
      <c r="W70" s="96">
        <v>520</v>
      </c>
      <c r="X70" s="97">
        <v>0</v>
      </c>
      <c r="Y70" s="95">
        <v>1460</v>
      </c>
      <c r="Z70" s="96">
        <v>320</v>
      </c>
      <c r="AA70" s="97">
        <v>0</v>
      </c>
      <c r="AB70" s="95">
        <v>170</v>
      </c>
      <c r="AC70" s="96">
        <v>0</v>
      </c>
      <c r="AD70" s="97">
        <v>0</v>
      </c>
      <c r="AE70" s="95">
        <v>2030</v>
      </c>
      <c r="AF70" s="96">
        <v>1710</v>
      </c>
      <c r="AG70" s="97">
        <v>0</v>
      </c>
      <c r="AH70" s="265">
        <f>+Janvier!AJ70</f>
        <v>1980.7417582417584</v>
      </c>
      <c r="AI70" s="231">
        <f>+Janvier!AK70</f>
        <v>6162.3076923076933</v>
      </c>
      <c r="AJ70" s="231">
        <f>+Janvier!AL70</f>
        <v>4621.7307692307704</v>
      </c>
      <c r="AK70" s="231">
        <f>+Janvier!AM70</f>
        <v>4621.7307692307704</v>
      </c>
      <c r="AL70" s="231">
        <f>+Janvier!AN70</f>
        <v>2801.0489510489515</v>
      </c>
      <c r="AM70" s="231">
        <f>+Janvier!AO70</f>
        <v>1733.1490384615383</v>
      </c>
      <c r="AN70" s="231">
        <f>+Janvier!AP70</f>
        <v>3466.2980769230767</v>
      </c>
      <c r="AO70" s="231">
        <f>+Janvier!AQ70</f>
        <v>1733.1490384615383</v>
      </c>
      <c r="AP70" s="231">
        <f>+Janvier!AR70</f>
        <v>1733.1490384615383</v>
      </c>
      <c r="AQ70" s="231">
        <f>+Janvier!AS70</f>
        <v>3081.1538461538466</v>
      </c>
      <c r="AR70" s="16">
        <f t="shared" si="116"/>
        <v>1</v>
      </c>
      <c r="AS70" s="16">
        <f t="shared" si="117"/>
        <v>1</v>
      </c>
      <c r="AT70" s="16">
        <f t="shared" si="118"/>
        <v>1</v>
      </c>
      <c r="AU70" s="16">
        <f t="shared" si="119"/>
        <v>1</v>
      </c>
      <c r="AV70" s="16">
        <f t="shared" si="120"/>
        <v>1</v>
      </c>
      <c r="AW70" s="16">
        <f t="shared" si="121"/>
        <v>1</v>
      </c>
      <c r="AX70" s="16">
        <f t="shared" si="122"/>
        <v>1</v>
      </c>
      <c r="AY70" s="16">
        <f t="shared" si="123"/>
        <v>1</v>
      </c>
      <c r="AZ70" s="16">
        <f t="shared" si="124"/>
        <v>0</v>
      </c>
      <c r="BA70" s="17">
        <f t="shared" si="125"/>
        <v>3</v>
      </c>
    </row>
    <row r="71" spans="1:53" ht="15.6" x14ac:dyDescent="0.3">
      <c r="A71" s="199" t="s">
        <v>65</v>
      </c>
      <c r="B71" s="257">
        <v>43922</v>
      </c>
      <c r="C71" s="94">
        <v>43951</v>
      </c>
      <c r="D71" s="237">
        <v>2280</v>
      </c>
      <c r="E71" s="96">
        <v>1200</v>
      </c>
      <c r="F71" s="97">
        <v>0</v>
      </c>
      <c r="G71" s="95">
        <v>6280</v>
      </c>
      <c r="H71" s="96">
        <v>2480</v>
      </c>
      <c r="I71" s="97">
        <v>0</v>
      </c>
      <c r="J71" s="95">
        <v>5200</v>
      </c>
      <c r="K71" s="96">
        <v>1380</v>
      </c>
      <c r="L71" s="97">
        <v>0</v>
      </c>
      <c r="M71" s="95">
        <v>5716</v>
      </c>
      <c r="N71" s="96">
        <v>860</v>
      </c>
      <c r="O71" s="97">
        <v>0</v>
      </c>
      <c r="P71" s="95">
        <v>3370</v>
      </c>
      <c r="Q71" s="96">
        <v>850</v>
      </c>
      <c r="R71" s="97">
        <v>0</v>
      </c>
      <c r="S71" s="95">
        <v>2460</v>
      </c>
      <c r="T71" s="96">
        <v>360</v>
      </c>
      <c r="U71" s="97">
        <v>0</v>
      </c>
      <c r="V71" s="95">
        <v>3860</v>
      </c>
      <c r="W71" s="96">
        <v>1360</v>
      </c>
      <c r="X71" s="97">
        <v>0</v>
      </c>
      <c r="Y71" s="95">
        <v>1930</v>
      </c>
      <c r="Z71" s="96">
        <v>680</v>
      </c>
      <c r="AA71" s="97">
        <v>0</v>
      </c>
      <c r="AB71" s="95">
        <v>150</v>
      </c>
      <c r="AC71" s="96">
        <v>0</v>
      </c>
      <c r="AD71" s="97">
        <v>0</v>
      </c>
      <c r="AE71" s="95">
        <v>3450</v>
      </c>
      <c r="AF71" s="96">
        <v>2030</v>
      </c>
      <c r="AG71" s="97">
        <v>0</v>
      </c>
      <c r="AH71" s="265">
        <f>+Janvier!AJ71</f>
        <v>2906.4560439560446</v>
      </c>
      <c r="AI71" s="231">
        <f>+Janvier!AK71</f>
        <v>9042.3076923076933</v>
      </c>
      <c r="AJ71" s="231">
        <f>+Janvier!AL71</f>
        <v>6781.7307692307695</v>
      </c>
      <c r="AK71" s="231">
        <f>+Janvier!AM71</f>
        <v>6781.7307692307695</v>
      </c>
      <c r="AL71" s="231">
        <f>+Janvier!AN71</f>
        <v>4110.1398601398605</v>
      </c>
      <c r="AM71" s="231">
        <f>+Janvier!AO71</f>
        <v>2543.1490384615386</v>
      </c>
      <c r="AN71" s="231">
        <f>+Janvier!AP71</f>
        <v>5086.2980769230771</v>
      </c>
      <c r="AO71" s="231">
        <f>+Janvier!AQ71</f>
        <v>2543.1490384615386</v>
      </c>
      <c r="AP71" s="231">
        <f>+Janvier!AR71</f>
        <v>2543.1490384615386</v>
      </c>
      <c r="AQ71" s="231">
        <f>+Janvier!AS71</f>
        <v>4521.1538461538466</v>
      </c>
      <c r="AR71" s="16">
        <f t="shared" si="116"/>
        <v>2</v>
      </c>
      <c r="AS71" s="16">
        <f t="shared" si="117"/>
        <v>1</v>
      </c>
      <c r="AT71" s="16">
        <f t="shared" si="118"/>
        <v>1</v>
      </c>
      <c r="AU71" s="16">
        <f t="shared" si="119"/>
        <v>1</v>
      </c>
      <c r="AV71" s="16">
        <f t="shared" si="120"/>
        <v>1</v>
      </c>
      <c r="AW71" s="16">
        <f t="shared" si="121"/>
        <v>1</v>
      </c>
      <c r="AX71" s="16">
        <f t="shared" si="122"/>
        <v>1</v>
      </c>
      <c r="AY71" s="16">
        <f t="shared" si="123"/>
        <v>1</v>
      </c>
      <c r="AZ71" s="16">
        <f t="shared" si="124"/>
        <v>0</v>
      </c>
      <c r="BA71" s="17">
        <f t="shared" si="125"/>
        <v>2</v>
      </c>
    </row>
    <row r="72" spans="1:53" ht="15.6" x14ac:dyDescent="0.3">
      <c r="A72" s="203" t="s">
        <v>66</v>
      </c>
      <c r="B72" s="257">
        <v>43922</v>
      </c>
      <c r="C72" s="94">
        <v>43951</v>
      </c>
      <c r="D72" s="237">
        <v>1920</v>
      </c>
      <c r="E72" s="96">
        <v>1300</v>
      </c>
      <c r="F72" s="97">
        <v>0</v>
      </c>
      <c r="G72" s="95">
        <v>4920</v>
      </c>
      <c r="H72" s="96">
        <v>3200</v>
      </c>
      <c r="I72" s="97">
        <v>0</v>
      </c>
      <c r="J72" s="95">
        <v>4440</v>
      </c>
      <c r="K72" s="96">
        <v>1650</v>
      </c>
      <c r="L72" s="97">
        <v>0</v>
      </c>
      <c r="M72" s="95">
        <v>4060</v>
      </c>
      <c r="N72" s="96">
        <v>2028</v>
      </c>
      <c r="O72" s="97">
        <v>0</v>
      </c>
      <c r="P72" s="95">
        <v>2584</v>
      </c>
      <c r="Q72" s="96">
        <v>1322</v>
      </c>
      <c r="R72" s="97">
        <v>0</v>
      </c>
      <c r="S72" s="95">
        <v>1470</v>
      </c>
      <c r="T72" s="96">
        <v>560</v>
      </c>
      <c r="U72" s="97">
        <v>0</v>
      </c>
      <c r="V72" s="95">
        <v>2680</v>
      </c>
      <c r="W72" s="96">
        <v>2160</v>
      </c>
      <c r="X72" s="97">
        <v>0</v>
      </c>
      <c r="Y72" s="95">
        <v>1580</v>
      </c>
      <c r="Z72" s="96">
        <v>840</v>
      </c>
      <c r="AA72" s="97">
        <v>0</v>
      </c>
      <c r="AB72" s="95">
        <v>170</v>
      </c>
      <c r="AC72" s="96">
        <v>0</v>
      </c>
      <c r="AD72" s="97">
        <v>0</v>
      </c>
      <c r="AE72" s="95">
        <v>2700</v>
      </c>
      <c r="AF72" s="96">
        <v>2370</v>
      </c>
      <c r="AG72" s="97">
        <v>0</v>
      </c>
      <c r="AH72" s="265">
        <f>+Janvier!AJ72</f>
        <v>2692.335164835165</v>
      </c>
      <c r="AI72" s="231">
        <f>+Janvier!AK72</f>
        <v>8376.1538461538457</v>
      </c>
      <c r="AJ72" s="231">
        <f>+Janvier!AL72</f>
        <v>6282.1153846153857</v>
      </c>
      <c r="AK72" s="231">
        <f>+Janvier!AM72</f>
        <v>6282.1153846153857</v>
      </c>
      <c r="AL72" s="231">
        <f>+Janvier!AN72</f>
        <v>3807.3426573426577</v>
      </c>
      <c r="AM72" s="231">
        <f>+Janvier!AO72</f>
        <v>2355.7932692307695</v>
      </c>
      <c r="AN72" s="231">
        <f>+Janvier!AP72</f>
        <v>4711.586538461539</v>
      </c>
      <c r="AO72" s="231">
        <f>+Janvier!AQ72</f>
        <v>2355.7932692307695</v>
      </c>
      <c r="AP72" s="231">
        <f>+Janvier!AR72</f>
        <v>2355.7932692307695</v>
      </c>
      <c r="AQ72" s="231">
        <f>+Janvier!AS72</f>
        <v>4188.0769230769229</v>
      </c>
      <c r="AR72" s="16">
        <f t="shared" si="116"/>
        <v>2</v>
      </c>
      <c r="AS72" s="16">
        <f t="shared" si="117"/>
        <v>2</v>
      </c>
      <c r="AT72" s="16">
        <f t="shared" si="118"/>
        <v>1</v>
      </c>
      <c r="AU72" s="16">
        <f t="shared" si="119"/>
        <v>2</v>
      </c>
      <c r="AV72" s="16">
        <f t="shared" si="120"/>
        <v>2</v>
      </c>
      <c r="AW72" s="16">
        <f t="shared" si="121"/>
        <v>1</v>
      </c>
      <c r="AX72" s="16">
        <f t="shared" si="122"/>
        <v>2</v>
      </c>
      <c r="AY72" s="16">
        <f t="shared" si="123"/>
        <v>2</v>
      </c>
      <c r="AZ72" s="16">
        <f t="shared" si="124"/>
        <v>0</v>
      </c>
      <c r="BA72" s="17">
        <f t="shared" si="125"/>
        <v>3</v>
      </c>
    </row>
    <row r="73" spans="1:53" ht="15.6" x14ac:dyDescent="0.3">
      <c r="A73" s="203" t="s">
        <v>67</v>
      </c>
      <c r="B73" s="257">
        <v>43922</v>
      </c>
      <c r="C73" s="94">
        <v>43951</v>
      </c>
      <c r="D73" s="237">
        <v>4560</v>
      </c>
      <c r="E73" s="96">
        <v>1100</v>
      </c>
      <c r="F73" s="97">
        <v>0</v>
      </c>
      <c r="G73" s="95">
        <v>12000</v>
      </c>
      <c r="H73" s="96">
        <v>2320</v>
      </c>
      <c r="I73" s="97">
        <v>0</v>
      </c>
      <c r="J73" s="95">
        <v>9650</v>
      </c>
      <c r="K73" s="96">
        <v>1090</v>
      </c>
      <c r="L73" s="97">
        <v>0</v>
      </c>
      <c r="M73" s="95">
        <v>8162</v>
      </c>
      <c r="N73" s="96">
        <v>2572</v>
      </c>
      <c r="O73" s="97">
        <v>0</v>
      </c>
      <c r="P73" s="95">
        <v>5130</v>
      </c>
      <c r="Q73" s="96">
        <v>1750</v>
      </c>
      <c r="R73" s="97">
        <v>0</v>
      </c>
      <c r="S73" s="95">
        <v>3400</v>
      </c>
      <c r="T73" s="96">
        <v>180</v>
      </c>
      <c r="U73" s="97">
        <v>0</v>
      </c>
      <c r="V73" s="95">
        <v>6140</v>
      </c>
      <c r="W73" s="96">
        <v>2380</v>
      </c>
      <c r="X73" s="97">
        <v>0</v>
      </c>
      <c r="Y73" s="95">
        <v>3360</v>
      </c>
      <c r="Z73" s="96">
        <v>900</v>
      </c>
      <c r="AA73" s="97">
        <v>0</v>
      </c>
      <c r="AB73" s="95">
        <v>170</v>
      </c>
      <c r="AC73" s="96">
        <v>0</v>
      </c>
      <c r="AD73" s="97">
        <v>0</v>
      </c>
      <c r="AE73" s="95">
        <v>6250</v>
      </c>
      <c r="AF73" s="96">
        <v>2700</v>
      </c>
      <c r="AG73" s="97">
        <v>0</v>
      </c>
      <c r="AH73" s="265">
        <f>+Janvier!AJ73</f>
        <v>4744.9038461538466</v>
      </c>
      <c r="AI73" s="231">
        <f>+Janvier!AK73</f>
        <v>14761.923076923076</v>
      </c>
      <c r="AJ73" s="231">
        <f>+Janvier!AL73</f>
        <v>11071.442307692309</v>
      </c>
      <c r="AK73" s="231">
        <f>+Janvier!AM73</f>
        <v>11071.442307692309</v>
      </c>
      <c r="AL73" s="231">
        <f>+Janvier!AN73</f>
        <v>6709.9650349650356</v>
      </c>
      <c r="AM73" s="231">
        <f>+Janvier!AO73</f>
        <v>4151.7908653846152</v>
      </c>
      <c r="AN73" s="231">
        <f>+Janvier!AP73</f>
        <v>8303.5817307692305</v>
      </c>
      <c r="AO73" s="231">
        <f>+Janvier!AQ73</f>
        <v>4151.7908653846152</v>
      </c>
      <c r="AP73" s="231">
        <f>+Janvier!AR73</f>
        <v>4151.7908653846152</v>
      </c>
      <c r="AQ73" s="231">
        <f>+Janvier!AS73</f>
        <v>7380.9615384615381</v>
      </c>
      <c r="AR73" s="16">
        <f t="shared" si="116"/>
        <v>1</v>
      </c>
      <c r="AS73" s="16">
        <f t="shared" si="117"/>
        <v>1</v>
      </c>
      <c r="AT73" s="16">
        <f t="shared" si="118"/>
        <v>0</v>
      </c>
      <c r="AU73" s="16">
        <f t="shared" si="119"/>
        <v>1</v>
      </c>
      <c r="AV73" s="16">
        <f t="shared" si="120"/>
        <v>1</v>
      </c>
      <c r="AW73" s="16">
        <f t="shared" si="121"/>
        <v>0</v>
      </c>
      <c r="AX73" s="16">
        <f t="shared" si="122"/>
        <v>1</v>
      </c>
      <c r="AY73" s="16">
        <f t="shared" si="123"/>
        <v>1</v>
      </c>
      <c r="AZ73" s="16">
        <f t="shared" si="124"/>
        <v>0</v>
      </c>
      <c r="BA73" s="17">
        <f t="shared" si="125"/>
        <v>2</v>
      </c>
    </row>
    <row r="74" spans="1:53" ht="15.6" x14ac:dyDescent="0.3">
      <c r="A74" s="203" t="s">
        <v>68</v>
      </c>
      <c r="B74" s="257">
        <v>43922</v>
      </c>
      <c r="C74" s="94">
        <v>43951</v>
      </c>
      <c r="D74" s="237">
        <v>3520</v>
      </c>
      <c r="E74" s="96">
        <v>400</v>
      </c>
      <c r="F74" s="97">
        <v>0</v>
      </c>
      <c r="G74" s="95">
        <v>9200</v>
      </c>
      <c r="H74" s="96">
        <v>680</v>
      </c>
      <c r="I74" s="97">
        <v>0</v>
      </c>
      <c r="J74" s="95">
        <v>6960</v>
      </c>
      <c r="K74" s="96">
        <v>460</v>
      </c>
      <c r="L74" s="97">
        <v>0</v>
      </c>
      <c r="M74" s="95">
        <v>6928</v>
      </c>
      <c r="N74" s="96">
        <v>488</v>
      </c>
      <c r="O74" s="97">
        <v>0</v>
      </c>
      <c r="P74" s="95">
        <v>4224</v>
      </c>
      <c r="Q74" s="96">
        <v>532</v>
      </c>
      <c r="R74" s="97">
        <v>0</v>
      </c>
      <c r="S74" s="95">
        <v>2280</v>
      </c>
      <c r="T74" s="96">
        <v>90</v>
      </c>
      <c r="U74" s="97">
        <v>0</v>
      </c>
      <c r="V74" s="95">
        <v>5060</v>
      </c>
      <c r="W74" s="96">
        <v>830</v>
      </c>
      <c r="X74" s="97">
        <v>0</v>
      </c>
      <c r="Y74" s="95">
        <v>2940</v>
      </c>
      <c r="Z74" s="96">
        <v>0</v>
      </c>
      <c r="AA74" s="97">
        <v>0</v>
      </c>
      <c r="AB74" s="95">
        <v>170</v>
      </c>
      <c r="AC74" s="96">
        <v>0</v>
      </c>
      <c r="AD74" s="97">
        <v>0</v>
      </c>
      <c r="AE74" s="95">
        <v>4290</v>
      </c>
      <c r="AF74" s="96">
        <v>1890</v>
      </c>
      <c r="AG74" s="97">
        <v>0</v>
      </c>
      <c r="AH74" s="265">
        <f>+Janvier!AJ74</f>
        <v>3278.4478021978025</v>
      </c>
      <c r="AI74" s="231">
        <f>+Janvier!AK74</f>
        <v>10199.615384615387</v>
      </c>
      <c r="AJ74" s="231">
        <f>+Janvier!AL74</f>
        <v>7649.7115384615381</v>
      </c>
      <c r="AK74" s="231">
        <f>+Janvier!AM74</f>
        <v>7649.7115384615381</v>
      </c>
      <c r="AL74" s="231">
        <f>+Janvier!AN74</f>
        <v>4636.188811188812</v>
      </c>
      <c r="AM74" s="231">
        <f>+Janvier!AO74</f>
        <v>2868.6418269230771</v>
      </c>
      <c r="AN74" s="231">
        <f>+Janvier!AP74</f>
        <v>5737.2836538461543</v>
      </c>
      <c r="AO74" s="231">
        <f>+Janvier!AQ74</f>
        <v>2868.6418269230771</v>
      </c>
      <c r="AP74" s="231">
        <f>+Janvier!AR74</f>
        <v>2868.6418269230771</v>
      </c>
      <c r="AQ74" s="231">
        <f>+Janvier!AS74</f>
        <v>5099.8076923076933</v>
      </c>
      <c r="AR74" s="16">
        <f t="shared" si="116"/>
        <v>1</v>
      </c>
      <c r="AS74" s="16">
        <f t="shared" si="117"/>
        <v>0</v>
      </c>
      <c r="AT74" s="16">
        <f t="shared" si="118"/>
        <v>0</v>
      </c>
      <c r="AU74" s="16">
        <f t="shared" si="119"/>
        <v>0</v>
      </c>
      <c r="AV74" s="16">
        <f t="shared" si="120"/>
        <v>1</v>
      </c>
      <c r="AW74" s="16">
        <f t="shared" si="121"/>
        <v>0</v>
      </c>
      <c r="AX74" s="16">
        <f t="shared" si="122"/>
        <v>1</v>
      </c>
      <c r="AY74" s="16">
        <f t="shared" si="123"/>
        <v>0</v>
      </c>
      <c r="AZ74" s="16">
        <f t="shared" si="124"/>
        <v>0</v>
      </c>
      <c r="BA74" s="17">
        <f t="shared" si="125"/>
        <v>2</v>
      </c>
    </row>
    <row r="75" spans="1:53" ht="15.6" x14ac:dyDescent="0.3">
      <c r="A75" s="203" t="s">
        <v>69</v>
      </c>
      <c r="B75" s="257">
        <v>43922</v>
      </c>
      <c r="C75" s="94">
        <v>43951</v>
      </c>
      <c r="D75" s="237">
        <v>3460</v>
      </c>
      <c r="E75" s="96">
        <v>1520</v>
      </c>
      <c r="F75" s="97">
        <v>0</v>
      </c>
      <c r="G75" s="95">
        <v>9380</v>
      </c>
      <c r="H75" s="96">
        <v>3200</v>
      </c>
      <c r="I75" s="97">
        <v>0</v>
      </c>
      <c r="J75" s="95">
        <v>7570</v>
      </c>
      <c r="K75" s="96">
        <v>1860</v>
      </c>
      <c r="L75" s="97">
        <v>0</v>
      </c>
      <c r="M75" s="95">
        <v>7000</v>
      </c>
      <c r="N75" s="96">
        <v>2420</v>
      </c>
      <c r="O75" s="97">
        <v>0</v>
      </c>
      <c r="P75" s="95">
        <v>4797</v>
      </c>
      <c r="Q75" s="96">
        <v>1250</v>
      </c>
      <c r="R75" s="97">
        <v>0</v>
      </c>
      <c r="S75" s="95">
        <v>2540</v>
      </c>
      <c r="T75" s="96">
        <v>600</v>
      </c>
      <c r="U75" s="97">
        <v>0</v>
      </c>
      <c r="V75" s="95">
        <v>2980</v>
      </c>
      <c r="W75" s="96">
        <v>4500</v>
      </c>
      <c r="X75" s="97">
        <v>0</v>
      </c>
      <c r="Y75" s="95">
        <v>2680</v>
      </c>
      <c r="Z75" s="96">
        <v>1060</v>
      </c>
      <c r="AA75" s="97">
        <v>0</v>
      </c>
      <c r="AB75" s="95">
        <v>170</v>
      </c>
      <c r="AC75" s="96">
        <v>0</v>
      </c>
      <c r="AD75" s="97">
        <v>0</v>
      </c>
      <c r="AE75" s="95">
        <v>4250</v>
      </c>
      <c r="AF75" s="96">
        <v>3610</v>
      </c>
      <c r="AG75" s="97">
        <v>0</v>
      </c>
      <c r="AH75" s="265">
        <f>+Janvier!AJ75</f>
        <v>4167.9395604395613</v>
      </c>
      <c r="AI75" s="231">
        <f>+Janvier!AK75</f>
        <v>12966.923076923082</v>
      </c>
      <c r="AJ75" s="231">
        <f>+Janvier!AL75</f>
        <v>9725.1923076923085</v>
      </c>
      <c r="AK75" s="231">
        <f>+Janvier!AM75</f>
        <v>9725.1923076923085</v>
      </c>
      <c r="AL75" s="231">
        <f>+Janvier!AN75</f>
        <v>5894.0559440559446</v>
      </c>
      <c r="AM75" s="231">
        <f>+Janvier!AO75</f>
        <v>3646.9471153846152</v>
      </c>
      <c r="AN75" s="231">
        <f>+Janvier!AP75</f>
        <v>7293.8942307692305</v>
      </c>
      <c r="AO75" s="231">
        <f>+Janvier!AQ75</f>
        <v>3646.9471153846152</v>
      </c>
      <c r="AP75" s="231">
        <f>+Janvier!AR75</f>
        <v>3646.9471153846152</v>
      </c>
      <c r="AQ75" s="231">
        <f>+Janvier!AS75</f>
        <v>6483.4615384615408</v>
      </c>
      <c r="AR75" s="16">
        <f t="shared" si="116"/>
        <v>2</v>
      </c>
      <c r="AS75" s="16">
        <f t="shared" si="117"/>
        <v>1</v>
      </c>
      <c r="AT75" s="16">
        <f t="shared" si="118"/>
        <v>1</v>
      </c>
      <c r="AU75" s="16">
        <f t="shared" si="119"/>
        <v>1</v>
      </c>
      <c r="AV75" s="16">
        <f t="shared" si="120"/>
        <v>1</v>
      </c>
      <c r="AW75" s="16">
        <f t="shared" si="121"/>
        <v>1</v>
      </c>
      <c r="AX75" s="16">
        <f t="shared" si="122"/>
        <v>3</v>
      </c>
      <c r="AY75" s="16">
        <f t="shared" si="123"/>
        <v>1</v>
      </c>
      <c r="AZ75" s="16">
        <f t="shared" si="124"/>
        <v>0</v>
      </c>
      <c r="BA75" s="17">
        <f t="shared" si="125"/>
        <v>3</v>
      </c>
    </row>
    <row r="76" spans="1:53" ht="15.6" x14ac:dyDescent="0.3">
      <c r="A76" s="203" t="s">
        <v>70</v>
      </c>
      <c r="B76" s="257">
        <v>43922</v>
      </c>
      <c r="C76" s="94">
        <v>43951</v>
      </c>
      <c r="D76" s="237">
        <v>2040</v>
      </c>
      <c r="E76" s="96">
        <v>380</v>
      </c>
      <c r="F76" s="97">
        <v>0</v>
      </c>
      <c r="G76" s="95">
        <v>5140</v>
      </c>
      <c r="H76" s="96">
        <v>980</v>
      </c>
      <c r="I76" s="97">
        <v>0</v>
      </c>
      <c r="J76" s="95">
        <v>4320</v>
      </c>
      <c r="K76" s="96">
        <v>270</v>
      </c>
      <c r="L76" s="97">
        <v>0</v>
      </c>
      <c r="M76" s="95">
        <v>3964</v>
      </c>
      <c r="N76" s="96">
        <v>620</v>
      </c>
      <c r="O76" s="97">
        <v>0</v>
      </c>
      <c r="P76" s="95">
        <v>2732</v>
      </c>
      <c r="Q76" s="96">
        <v>209</v>
      </c>
      <c r="R76" s="97">
        <v>0</v>
      </c>
      <c r="S76" s="95">
        <v>1330</v>
      </c>
      <c r="T76" s="96">
        <v>200</v>
      </c>
      <c r="U76" s="97">
        <v>0</v>
      </c>
      <c r="V76" s="95">
        <v>2350</v>
      </c>
      <c r="W76" s="96">
        <v>1290</v>
      </c>
      <c r="X76" s="97">
        <v>0</v>
      </c>
      <c r="Y76" s="95">
        <v>1600</v>
      </c>
      <c r="Z76" s="96">
        <v>220</v>
      </c>
      <c r="AA76" s="97">
        <v>0</v>
      </c>
      <c r="AB76" s="95">
        <v>140</v>
      </c>
      <c r="AC76" s="96">
        <v>140</v>
      </c>
      <c r="AD76" s="97">
        <v>0</v>
      </c>
      <c r="AE76" s="95">
        <v>2780</v>
      </c>
      <c r="AF76" s="96">
        <v>1040</v>
      </c>
      <c r="AG76" s="97">
        <v>0</v>
      </c>
      <c r="AH76" s="265">
        <f>+Janvier!AJ76</f>
        <v>2027.1016483516485</v>
      </c>
      <c r="AI76" s="231">
        <f>+Janvier!AK76</f>
        <v>6306.5384615384628</v>
      </c>
      <c r="AJ76" s="231">
        <f>+Janvier!AL76</f>
        <v>4729.9038461538466</v>
      </c>
      <c r="AK76" s="231">
        <f>+Janvier!AM76</f>
        <v>4729.9038461538466</v>
      </c>
      <c r="AL76" s="231">
        <f>+Janvier!AN76</f>
        <v>2866.6083916083921</v>
      </c>
      <c r="AM76" s="231">
        <f>+Janvier!AO76</f>
        <v>1773.7139423076924</v>
      </c>
      <c r="AN76" s="231">
        <f>+Janvier!AP76</f>
        <v>3547.4278846153848</v>
      </c>
      <c r="AO76" s="231">
        <f>+Janvier!AQ76</f>
        <v>1773.7139423076924</v>
      </c>
      <c r="AP76" s="231">
        <f>+Janvier!AR76</f>
        <v>1773.7139423076924</v>
      </c>
      <c r="AQ76" s="231">
        <f>+Janvier!AS76</f>
        <v>3153.2692307692314</v>
      </c>
      <c r="AR76" s="16">
        <f t="shared" si="116"/>
        <v>1</v>
      </c>
      <c r="AS76" s="16">
        <f t="shared" si="117"/>
        <v>1</v>
      </c>
      <c r="AT76" s="16">
        <f t="shared" si="118"/>
        <v>0</v>
      </c>
      <c r="AU76" s="16">
        <f t="shared" si="119"/>
        <v>1</v>
      </c>
      <c r="AV76" s="16">
        <f t="shared" si="120"/>
        <v>0</v>
      </c>
      <c r="AW76" s="16">
        <f t="shared" si="121"/>
        <v>1</v>
      </c>
      <c r="AX76" s="16">
        <f t="shared" si="122"/>
        <v>2</v>
      </c>
      <c r="AY76" s="16">
        <f t="shared" si="123"/>
        <v>1</v>
      </c>
      <c r="AZ76" s="16">
        <f t="shared" si="124"/>
        <v>0</v>
      </c>
      <c r="BA76" s="17">
        <f t="shared" si="125"/>
        <v>2</v>
      </c>
    </row>
    <row r="77" spans="1:53" ht="15.6" x14ac:dyDescent="0.3">
      <c r="A77" s="203" t="s">
        <v>71</v>
      </c>
      <c r="B77" s="257">
        <v>43922</v>
      </c>
      <c r="C77" s="94">
        <v>43951</v>
      </c>
      <c r="D77" s="237">
        <v>3240</v>
      </c>
      <c r="E77" s="96">
        <v>960</v>
      </c>
      <c r="F77" s="97">
        <v>0</v>
      </c>
      <c r="G77" s="95">
        <v>9480</v>
      </c>
      <c r="H77" s="96">
        <v>1160</v>
      </c>
      <c r="I77" s="97">
        <v>0</v>
      </c>
      <c r="J77" s="95">
        <v>5970</v>
      </c>
      <c r="K77" s="96">
        <v>2000</v>
      </c>
      <c r="L77" s="97">
        <v>0</v>
      </c>
      <c r="M77" s="95">
        <v>5692</v>
      </c>
      <c r="N77" s="96">
        <v>2280</v>
      </c>
      <c r="O77" s="97">
        <v>0</v>
      </c>
      <c r="P77" s="95">
        <v>3813</v>
      </c>
      <c r="Q77" s="96">
        <v>1300</v>
      </c>
      <c r="R77" s="97">
        <v>0</v>
      </c>
      <c r="S77" s="95">
        <v>2020</v>
      </c>
      <c r="T77" s="96">
        <v>640</v>
      </c>
      <c r="U77" s="97">
        <v>0</v>
      </c>
      <c r="V77" s="95">
        <v>4240</v>
      </c>
      <c r="W77" s="96">
        <v>2090</v>
      </c>
      <c r="X77" s="97">
        <v>0</v>
      </c>
      <c r="Y77" s="95">
        <v>2200</v>
      </c>
      <c r="Z77" s="96">
        <v>960</v>
      </c>
      <c r="AA77" s="97">
        <v>0</v>
      </c>
      <c r="AB77" s="95">
        <v>170</v>
      </c>
      <c r="AC77" s="96">
        <v>0</v>
      </c>
      <c r="AD77" s="97">
        <v>0</v>
      </c>
      <c r="AE77" s="95">
        <v>3320</v>
      </c>
      <c r="AF77" s="96">
        <v>3320</v>
      </c>
      <c r="AG77" s="97">
        <v>0</v>
      </c>
      <c r="AH77" s="265">
        <f>+Janvier!AJ77</f>
        <v>3524.4642857142853</v>
      </c>
      <c r="AI77" s="231">
        <f>+Janvier!AK77</f>
        <v>10965.000000000002</v>
      </c>
      <c r="AJ77" s="231">
        <f>+Janvier!AL77</f>
        <v>8223.75</v>
      </c>
      <c r="AK77" s="231">
        <f>+Janvier!AM77</f>
        <v>8223.75</v>
      </c>
      <c r="AL77" s="231">
        <f>+Janvier!AN77</f>
        <v>4984.0909090909099</v>
      </c>
      <c r="AM77" s="231">
        <f>+Janvier!AO77</f>
        <v>3083.9062500000005</v>
      </c>
      <c r="AN77" s="231">
        <f>+Janvier!AP77</f>
        <v>6167.8125000000009</v>
      </c>
      <c r="AO77" s="231">
        <f>+Janvier!AQ77</f>
        <v>3083.9062500000005</v>
      </c>
      <c r="AP77" s="231">
        <f>+Janvier!AR77</f>
        <v>3083.9062500000005</v>
      </c>
      <c r="AQ77" s="231">
        <f>+Janvier!AS77</f>
        <v>5482.5000000000009</v>
      </c>
      <c r="AR77" s="16">
        <f t="shared" si="116"/>
        <v>1</v>
      </c>
      <c r="AS77" s="16">
        <f t="shared" si="117"/>
        <v>1</v>
      </c>
      <c r="AT77" s="16">
        <f t="shared" si="118"/>
        <v>1</v>
      </c>
      <c r="AU77" s="16">
        <f t="shared" si="119"/>
        <v>1</v>
      </c>
      <c r="AV77" s="16">
        <f t="shared" si="120"/>
        <v>1</v>
      </c>
      <c r="AW77" s="16">
        <f t="shared" si="121"/>
        <v>1</v>
      </c>
      <c r="AX77" s="16">
        <f t="shared" si="122"/>
        <v>2</v>
      </c>
      <c r="AY77" s="16">
        <f t="shared" si="123"/>
        <v>2</v>
      </c>
      <c r="AZ77" s="16">
        <f t="shared" si="124"/>
        <v>0</v>
      </c>
      <c r="BA77" s="17">
        <f t="shared" si="125"/>
        <v>3</v>
      </c>
    </row>
    <row r="78" spans="1:53" ht="15.6" x14ac:dyDescent="0.3">
      <c r="A78" s="203" t="s">
        <v>72</v>
      </c>
      <c r="B78" s="257">
        <v>43922</v>
      </c>
      <c r="C78" s="94">
        <v>43951</v>
      </c>
      <c r="D78" s="237">
        <v>380</v>
      </c>
      <c r="E78" s="96">
        <v>0</v>
      </c>
      <c r="F78" s="97">
        <v>0</v>
      </c>
      <c r="G78" s="95">
        <v>520</v>
      </c>
      <c r="H78" s="96">
        <v>400</v>
      </c>
      <c r="I78" s="97">
        <v>0</v>
      </c>
      <c r="J78" s="95">
        <v>670</v>
      </c>
      <c r="K78" s="96">
        <v>20</v>
      </c>
      <c r="L78" s="97">
        <v>0</v>
      </c>
      <c r="M78" s="95">
        <v>412</v>
      </c>
      <c r="N78" s="96">
        <v>280</v>
      </c>
      <c r="O78" s="97">
        <v>0</v>
      </c>
      <c r="P78" s="95">
        <v>192</v>
      </c>
      <c r="Q78" s="96">
        <v>250</v>
      </c>
      <c r="R78" s="97">
        <v>0</v>
      </c>
      <c r="S78" s="95">
        <v>50</v>
      </c>
      <c r="T78" s="96">
        <v>180</v>
      </c>
      <c r="U78" s="97">
        <v>0</v>
      </c>
      <c r="V78" s="95">
        <v>50</v>
      </c>
      <c r="W78" s="96">
        <v>500</v>
      </c>
      <c r="X78" s="97">
        <v>0</v>
      </c>
      <c r="Y78" s="95">
        <v>280</v>
      </c>
      <c r="Z78" s="96">
        <v>0</v>
      </c>
      <c r="AA78" s="97">
        <v>0</v>
      </c>
      <c r="AB78" s="95">
        <v>120</v>
      </c>
      <c r="AC78" s="96">
        <v>0</v>
      </c>
      <c r="AD78" s="97">
        <v>0</v>
      </c>
      <c r="AE78" s="95">
        <v>250</v>
      </c>
      <c r="AF78" s="96">
        <v>330</v>
      </c>
      <c r="AG78" s="97">
        <v>0</v>
      </c>
      <c r="AH78" s="265">
        <f>+Janvier!AJ78</f>
        <v>304.98626373626377</v>
      </c>
      <c r="AI78" s="231">
        <f>+Janvier!AK78</f>
        <v>948.84615384615404</v>
      </c>
      <c r="AJ78" s="231">
        <f>+Janvier!AL78</f>
        <v>711.63461538461547</v>
      </c>
      <c r="AK78" s="231">
        <f>+Janvier!AM78</f>
        <v>711.63461538461547</v>
      </c>
      <c r="AL78" s="231">
        <f>+Janvier!AN78</f>
        <v>431.29370629370635</v>
      </c>
      <c r="AM78" s="231">
        <f>+Janvier!AO78</f>
        <v>266.86298076923077</v>
      </c>
      <c r="AN78" s="231">
        <f>+Janvier!AP78</f>
        <v>533.72596153846155</v>
      </c>
      <c r="AO78" s="231">
        <f>+Janvier!AQ78</f>
        <v>266.86298076923077</v>
      </c>
      <c r="AP78" s="231">
        <f>+Janvier!AR78</f>
        <v>266.86298076923077</v>
      </c>
      <c r="AQ78" s="231">
        <f>+Janvier!AS78</f>
        <v>474.42307692307702</v>
      </c>
      <c r="AR78" s="16">
        <f t="shared" si="116"/>
        <v>0</v>
      </c>
      <c r="AS78" s="16">
        <f t="shared" si="117"/>
        <v>2</v>
      </c>
      <c r="AT78" s="16">
        <f t="shared" si="118"/>
        <v>0</v>
      </c>
      <c r="AU78" s="16">
        <f t="shared" si="119"/>
        <v>2</v>
      </c>
      <c r="AV78" s="16">
        <f t="shared" si="120"/>
        <v>3</v>
      </c>
      <c r="AW78" s="16">
        <f t="shared" si="121"/>
        <v>3</v>
      </c>
      <c r="AX78" s="16">
        <f t="shared" si="122"/>
        <v>5</v>
      </c>
      <c r="AY78" s="16">
        <f t="shared" si="123"/>
        <v>0</v>
      </c>
      <c r="AZ78" s="16">
        <f t="shared" si="124"/>
        <v>0</v>
      </c>
      <c r="BA78" s="17">
        <f t="shared" si="125"/>
        <v>3</v>
      </c>
    </row>
    <row r="79" spans="1:53" ht="16.2" thickBot="1" x14ac:dyDescent="0.35">
      <c r="A79" s="203" t="s">
        <v>73</v>
      </c>
      <c r="B79" s="270">
        <v>43922</v>
      </c>
      <c r="C79" s="255">
        <v>43951</v>
      </c>
      <c r="D79" s="269">
        <v>2560</v>
      </c>
      <c r="E79" s="109">
        <v>620</v>
      </c>
      <c r="F79" s="110">
        <v>0</v>
      </c>
      <c r="G79" s="111">
        <v>6760</v>
      </c>
      <c r="H79" s="109">
        <v>1260</v>
      </c>
      <c r="I79" s="110">
        <v>0</v>
      </c>
      <c r="J79" s="111">
        <v>5380</v>
      </c>
      <c r="K79" s="109">
        <v>640</v>
      </c>
      <c r="L79" s="110">
        <v>0</v>
      </c>
      <c r="M79" s="111">
        <v>5292</v>
      </c>
      <c r="N79" s="109">
        <v>724</v>
      </c>
      <c r="O79" s="110">
        <v>0</v>
      </c>
      <c r="P79" s="111">
        <v>3353</v>
      </c>
      <c r="Q79" s="109">
        <v>505</v>
      </c>
      <c r="R79" s="110">
        <v>0</v>
      </c>
      <c r="S79" s="111">
        <v>1890</v>
      </c>
      <c r="T79" s="109">
        <v>120</v>
      </c>
      <c r="U79" s="110">
        <v>0</v>
      </c>
      <c r="V79" s="111">
        <v>3290</v>
      </c>
      <c r="W79" s="109">
        <v>1490</v>
      </c>
      <c r="X79" s="110">
        <v>0</v>
      </c>
      <c r="Y79" s="111">
        <v>1620</v>
      </c>
      <c r="Z79" s="109">
        <v>770</v>
      </c>
      <c r="AA79" s="110">
        <v>0</v>
      </c>
      <c r="AB79" s="111">
        <v>150</v>
      </c>
      <c r="AC79" s="109">
        <v>0</v>
      </c>
      <c r="AD79" s="110">
        <v>0</v>
      </c>
      <c r="AE79" s="111">
        <v>3450</v>
      </c>
      <c r="AF79" s="109">
        <v>1570</v>
      </c>
      <c r="AG79" s="110">
        <v>0</v>
      </c>
      <c r="AH79" s="265">
        <f>+Janvier!AJ79</f>
        <v>2652.2802197802202</v>
      </c>
      <c r="AI79" s="231">
        <f>+Janvier!AK79</f>
        <v>8251.5384615384628</v>
      </c>
      <c r="AJ79" s="231">
        <f>+Janvier!AL79</f>
        <v>6188.6538461538466</v>
      </c>
      <c r="AK79" s="231">
        <f>+Janvier!AM79</f>
        <v>6188.6538461538466</v>
      </c>
      <c r="AL79" s="231">
        <f>+Janvier!AN79</f>
        <v>3750.6993006993016</v>
      </c>
      <c r="AM79" s="231">
        <f>+Janvier!AO79</f>
        <v>2320.7451923076924</v>
      </c>
      <c r="AN79" s="231">
        <f>+Janvier!AP79</f>
        <v>4641.4903846153848</v>
      </c>
      <c r="AO79" s="231">
        <f>+Janvier!AQ79</f>
        <v>2320.7451923076924</v>
      </c>
      <c r="AP79" s="231">
        <f>+Janvier!AR79</f>
        <v>2320.7451923076924</v>
      </c>
      <c r="AQ79" s="231">
        <f>+Janvier!AS79</f>
        <v>4125.7692307692314</v>
      </c>
      <c r="AR79" s="32">
        <f t="shared" si="116"/>
        <v>1</v>
      </c>
      <c r="AS79" s="32">
        <f t="shared" si="117"/>
        <v>1</v>
      </c>
      <c r="AT79" s="32">
        <f t="shared" si="118"/>
        <v>1</v>
      </c>
      <c r="AU79" s="32">
        <f t="shared" si="119"/>
        <v>1</v>
      </c>
      <c r="AV79" s="32">
        <f t="shared" si="120"/>
        <v>1</v>
      </c>
      <c r="AW79" s="32">
        <f t="shared" si="121"/>
        <v>0</v>
      </c>
      <c r="AX79" s="32">
        <f t="shared" si="122"/>
        <v>2</v>
      </c>
      <c r="AY79" s="32">
        <f t="shared" si="123"/>
        <v>2</v>
      </c>
      <c r="AZ79" s="32">
        <f t="shared" si="124"/>
        <v>0</v>
      </c>
      <c r="BA79" s="33">
        <f t="shared" si="125"/>
        <v>2</v>
      </c>
    </row>
    <row r="80" spans="1:53" ht="15.6" x14ac:dyDescent="0.3">
      <c r="A80" s="202" t="s">
        <v>90</v>
      </c>
      <c r="B80" s="256" t="s">
        <v>144</v>
      </c>
      <c r="C80" s="160">
        <v>43951</v>
      </c>
      <c r="D80" s="113">
        <v>0</v>
      </c>
      <c r="E80" s="114">
        <v>16320</v>
      </c>
      <c r="F80" s="115"/>
      <c r="G80" s="113">
        <v>0</v>
      </c>
      <c r="H80" s="114">
        <v>37000</v>
      </c>
      <c r="I80" s="115"/>
      <c r="J80" s="113">
        <v>0</v>
      </c>
      <c r="K80" s="114">
        <v>28700</v>
      </c>
      <c r="L80" s="115"/>
      <c r="M80" s="113">
        <v>0</v>
      </c>
      <c r="N80" s="114">
        <v>28200</v>
      </c>
      <c r="O80" s="115"/>
      <c r="P80" s="113">
        <v>0</v>
      </c>
      <c r="Q80" s="114">
        <v>8750</v>
      </c>
      <c r="R80" s="115"/>
      <c r="S80" s="113">
        <v>0</v>
      </c>
      <c r="T80" s="114">
        <v>9500</v>
      </c>
      <c r="U80" s="115"/>
      <c r="V80" s="113">
        <v>0</v>
      </c>
      <c r="W80" s="114">
        <v>28900</v>
      </c>
      <c r="X80" s="115"/>
      <c r="Y80" s="113">
        <v>0</v>
      </c>
      <c r="Z80" s="114">
        <v>13620</v>
      </c>
      <c r="AA80" s="115"/>
      <c r="AB80" s="113">
        <v>0</v>
      </c>
      <c r="AC80" s="114">
        <v>13300</v>
      </c>
      <c r="AD80" s="115"/>
      <c r="AE80" s="113">
        <v>0</v>
      </c>
      <c r="AF80" s="114">
        <v>33000</v>
      </c>
      <c r="AG80" s="115"/>
      <c r="AH80" s="231">
        <f>+Janvier!AJ80</f>
        <v>17212.634999999998</v>
      </c>
      <c r="AI80" s="231">
        <f>+Janvier!AK80</f>
        <v>59198.798076923078</v>
      </c>
      <c r="AJ80" s="231">
        <f>+Janvier!AL80</f>
        <v>39426.39951923077</v>
      </c>
      <c r="AK80" s="231">
        <f>+Janvier!AM80</f>
        <v>39426.39951923077</v>
      </c>
      <c r="AL80" s="231">
        <f>+Janvier!AN80</f>
        <v>24863.495192307691</v>
      </c>
      <c r="AM80" s="231">
        <f>+Janvier!AO80</f>
        <v>14799.69951923077</v>
      </c>
      <c r="AN80" s="231">
        <f>+Janvier!AP80</f>
        <v>29599.399038461539</v>
      </c>
      <c r="AO80" s="231">
        <f>+Janvier!AQ80</f>
        <v>14799.69951923077</v>
      </c>
      <c r="AP80" s="231">
        <f>+Janvier!AR80</f>
        <v>14799.69951923077</v>
      </c>
      <c r="AQ80" s="231">
        <f>+Janvier!AS80</f>
        <v>26721.713076923079</v>
      </c>
      <c r="AR80" s="16">
        <f>ROUND(E80/(AH80/15),0)</f>
        <v>14</v>
      </c>
      <c r="AS80" s="16">
        <f t="shared" ref="AS80" si="126">ROUND(H80/(AI80/15),0)</f>
        <v>9</v>
      </c>
      <c r="AT80" s="16">
        <f t="shared" ref="AT80" si="127">ROUND(K80/(AJ80/15),0)</f>
        <v>11</v>
      </c>
      <c r="AU80" s="16">
        <f t="shared" ref="AU80" si="128">ROUND(N80/(AK80/15),0)</f>
        <v>11</v>
      </c>
      <c r="AV80" s="16">
        <f t="shared" ref="AV80" si="129">ROUND(Q80/(AL80/15),0)</f>
        <v>5</v>
      </c>
      <c r="AW80" s="16">
        <f t="shared" ref="AW80" si="130">ROUND(T80/(AM80/15),0)</f>
        <v>10</v>
      </c>
      <c r="AX80" s="16">
        <f t="shared" ref="AX80" si="131">ROUND(W80/(AN80/15),0)</f>
        <v>15</v>
      </c>
      <c r="AY80" s="16">
        <f t="shared" ref="AY80" si="132">ROUND(Z80/(AO80/15),0)</f>
        <v>14</v>
      </c>
      <c r="AZ80" s="16">
        <f t="shared" ref="AZ80" si="133">ROUND(AC80/(AP80/15),0)</f>
        <v>13</v>
      </c>
      <c r="BA80" s="17">
        <f t="shared" ref="BA80" si="134">ROUND(AF80/(AQ80/15),0)</f>
        <v>19</v>
      </c>
    </row>
    <row r="81" spans="1:53" ht="15.6" x14ac:dyDescent="0.3">
      <c r="A81" s="199" t="s">
        <v>74</v>
      </c>
      <c r="B81" s="257" t="s">
        <v>144</v>
      </c>
      <c r="C81" s="94">
        <v>43951</v>
      </c>
      <c r="D81" s="116">
        <v>600</v>
      </c>
      <c r="E81" s="106">
        <v>360</v>
      </c>
      <c r="F81" s="117"/>
      <c r="G81" s="116">
        <v>4320</v>
      </c>
      <c r="H81" s="106">
        <v>640</v>
      </c>
      <c r="I81" s="117"/>
      <c r="J81" s="116">
        <v>3500</v>
      </c>
      <c r="K81" s="106">
        <v>750</v>
      </c>
      <c r="L81" s="117"/>
      <c r="M81" s="116">
        <v>3000</v>
      </c>
      <c r="N81" s="106">
        <v>924</v>
      </c>
      <c r="O81" s="117"/>
      <c r="P81" s="116">
        <v>1900</v>
      </c>
      <c r="Q81" s="106">
        <v>519</v>
      </c>
      <c r="R81" s="117"/>
      <c r="S81" s="116">
        <v>700</v>
      </c>
      <c r="T81" s="106">
        <v>270</v>
      </c>
      <c r="U81" s="117"/>
      <c r="V81" s="116">
        <v>1500</v>
      </c>
      <c r="W81" s="106">
        <v>1330</v>
      </c>
      <c r="X81" s="117"/>
      <c r="Y81" s="116">
        <v>200</v>
      </c>
      <c r="Z81" s="106">
        <v>280</v>
      </c>
      <c r="AA81" s="117"/>
      <c r="AB81" s="116">
        <v>600</v>
      </c>
      <c r="AC81" s="106">
        <v>330</v>
      </c>
      <c r="AD81" s="117"/>
      <c r="AE81" s="116">
        <v>1000</v>
      </c>
      <c r="AF81" s="106">
        <v>1240</v>
      </c>
      <c r="AG81" s="117"/>
      <c r="AH81" s="231">
        <f>+Janvier!AJ81</f>
        <v>1153.1868131868132</v>
      </c>
      <c r="AI81" s="231">
        <f>+Janvier!AK81</f>
        <v>3587.6923076923085</v>
      </c>
      <c r="AJ81" s="231">
        <f>+Janvier!AL81</f>
        <v>2690.7692307692309</v>
      </c>
      <c r="AK81" s="231">
        <f>+Janvier!AM81</f>
        <v>2690.7692307692309</v>
      </c>
      <c r="AL81" s="231">
        <f>+Janvier!AN81</f>
        <v>1630.7692307692312</v>
      </c>
      <c r="AM81" s="231">
        <f>+Janvier!AO81</f>
        <v>1009.0384615384617</v>
      </c>
      <c r="AN81" s="231">
        <f>+Janvier!AP81</f>
        <v>2018.0769230769233</v>
      </c>
      <c r="AO81" s="231">
        <f>+Janvier!AQ81</f>
        <v>1009.0384615384617</v>
      </c>
      <c r="AP81" s="231">
        <f>+Janvier!AR81</f>
        <v>1009.0384615384617</v>
      </c>
      <c r="AQ81" s="231">
        <f>+Janvier!AS81</f>
        <v>1793.8461538461543</v>
      </c>
      <c r="AR81" s="16">
        <f>ROUND(E81/(AH81/5),0)</f>
        <v>2</v>
      </c>
      <c r="AS81" s="16">
        <f t="shared" ref="AS81:AS85" si="135">ROUND(H81/(AI81/5),0)</f>
        <v>1</v>
      </c>
      <c r="AT81" s="16">
        <f t="shared" ref="AT81:AT85" si="136">ROUND(K81/(AJ81/5),0)</f>
        <v>1</v>
      </c>
      <c r="AU81" s="16">
        <f t="shared" ref="AU81:AU85" si="137">ROUND(N81/(AK81/5),0)</f>
        <v>2</v>
      </c>
      <c r="AV81" s="16">
        <f t="shared" ref="AV81:AV85" si="138">ROUND(Q81/(AL81/5),0)</f>
        <v>2</v>
      </c>
      <c r="AW81" s="16">
        <f t="shared" ref="AW81:AW85" si="139">ROUND(T81/(AM81/5),0)</f>
        <v>1</v>
      </c>
      <c r="AX81" s="16">
        <f t="shared" ref="AX81:AX85" si="140">ROUND(W81/(AN81/5),0)</f>
        <v>3</v>
      </c>
      <c r="AY81" s="16">
        <f t="shared" ref="AY81:AY85" si="141">ROUND(Z81/(AO81/5),0)</f>
        <v>1</v>
      </c>
      <c r="AZ81" s="16">
        <f t="shared" ref="AZ81:AZ85" si="142">ROUND(AC81/(AP81/5),0)</f>
        <v>2</v>
      </c>
      <c r="BA81" s="17">
        <f t="shared" ref="BA81:BA85" si="143">ROUND(AF81/(AQ81/5),0)</f>
        <v>3</v>
      </c>
    </row>
    <row r="82" spans="1:53" ht="15.6" x14ac:dyDescent="0.3">
      <c r="A82" s="199" t="s">
        <v>75</v>
      </c>
      <c r="B82" s="257" t="s">
        <v>144</v>
      </c>
      <c r="C82" s="94">
        <v>43951</v>
      </c>
      <c r="D82" s="95">
        <v>1000</v>
      </c>
      <c r="E82" s="96">
        <v>1020</v>
      </c>
      <c r="F82" s="97"/>
      <c r="G82" s="95">
        <v>5000</v>
      </c>
      <c r="H82" s="96">
        <v>2200</v>
      </c>
      <c r="I82" s="97"/>
      <c r="J82" s="95">
        <v>3400</v>
      </c>
      <c r="K82" s="96">
        <v>1200</v>
      </c>
      <c r="L82" s="97"/>
      <c r="M82" s="95">
        <v>3600</v>
      </c>
      <c r="N82" s="96">
        <v>1464</v>
      </c>
      <c r="O82" s="97"/>
      <c r="P82" s="95">
        <v>2500</v>
      </c>
      <c r="Q82" s="96">
        <v>1030</v>
      </c>
      <c r="R82" s="97"/>
      <c r="S82" s="95">
        <v>1400</v>
      </c>
      <c r="T82" s="96">
        <v>850</v>
      </c>
      <c r="U82" s="97"/>
      <c r="V82" s="95">
        <v>1000</v>
      </c>
      <c r="W82" s="96">
        <v>1840</v>
      </c>
      <c r="X82" s="97"/>
      <c r="Y82" s="95">
        <v>1000</v>
      </c>
      <c r="Z82" s="96">
        <v>1020</v>
      </c>
      <c r="AA82" s="97"/>
      <c r="AB82" s="95">
        <v>1000</v>
      </c>
      <c r="AC82" s="96">
        <v>890</v>
      </c>
      <c r="AD82" s="97"/>
      <c r="AE82" s="95">
        <v>2000</v>
      </c>
      <c r="AF82" s="96">
        <v>2350</v>
      </c>
      <c r="AG82" s="97"/>
      <c r="AH82" s="231">
        <f>+Janvier!AJ82</f>
        <v>1355.5631868131868</v>
      </c>
      <c r="AI82" s="231">
        <f>+Janvier!AK82</f>
        <v>4217.3076923076924</v>
      </c>
      <c r="AJ82" s="231">
        <f>+Janvier!AL82</f>
        <v>3162.9807692307691</v>
      </c>
      <c r="AK82" s="231">
        <f>+Janvier!AM82</f>
        <v>3162.9807692307691</v>
      </c>
      <c r="AL82" s="231">
        <f>+Janvier!AN82</f>
        <v>1916.9580419580418</v>
      </c>
      <c r="AM82" s="231">
        <f>+Janvier!AO82</f>
        <v>1186.1177884615383</v>
      </c>
      <c r="AN82" s="231">
        <f>+Janvier!AP82</f>
        <v>2372.2355769230767</v>
      </c>
      <c r="AO82" s="231">
        <f>+Janvier!AQ82</f>
        <v>1186.1177884615383</v>
      </c>
      <c r="AP82" s="231">
        <f>+Janvier!AR82</f>
        <v>1186.1177884615383</v>
      </c>
      <c r="AQ82" s="231">
        <f>+Janvier!AS82</f>
        <v>2108.6538461538462</v>
      </c>
      <c r="AR82" s="16">
        <f>ROUND(E82/(AH82/5),0)</f>
        <v>4</v>
      </c>
      <c r="AS82" s="16">
        <f t="shared" si="135"/>
        <v>3</v>
      </c>
      <c r="AT82" s="16">
        <f t="shared" si="136"/>
        <v>2</v>
      </c>
      <c r="AU82" s="16">
        <f t="shared" si="137"/>
        <v>2</v>
      </c>
      <c r="AV82" s="16">
        <f t="shared" si="138"/>
        <v>3</v>
      </c>
      <c r="AW82" s="16">
        <f t="shared" si="139"/>
        <v>4</v>
      </c>
      <c r="AX82" s="16">
        <f t="shared" si="140"/>
        <v>4</v>
      </c>
      <c r="AY82" s="16">
        <f t="shared" si="141"/>
        <v>4</v>
      </c>
      <c r="AZ82" s="16">
        <f t="shared" si="142"/>
        <v>4</v>
      </c>
      <c r="BA82" s="17">
        <f t="shared" si="143"/>
        <v>6</v>
      </c>
    </row>
    <row r="83" spans="1:53" ht="15.6" x14ac:dyDescent="0.3">
      <c r="A83" s="199" t="s">
        <v>76</v>
      </c>
      <c r="B83" s="257" t="s">
        <v>144</v>
      </c>
      <c r="C83" s="94">
        <v>43951</v>
      </c>
      <c r="D83" s="95">
        <v>1300</v>
      </c>
      <c r="E83" s="96">
        <v>400</v>
      </c>
      <c r="F83" s="97"/>
      <c r="G83" s="95">
        <v>3380</v>
      </c>
      <c r="H83" s="96">
        <v>1420</v>
      </c>
      <c r="I83" s="97"/>
      <c r="J83" s="95">
        <v>2100</v>
      </c>
      <c r="K83" s="96">
        <v>1520</v>
      </c>
      <c r="L83" s="97"/>
      <c r="M83" s="95">
        <v>2200</v>
      </c>
      <c r="N83" s="96">
        <v>1184</v>
      </c>
      <c r="O83" s="97"/>
      <c r="P83" s="95">
        <v>1200</v>
      </c>
      <c r="Q83" s="96">
        <v>775</v>
      </c>
      <c r="R83" s="97"/>
      <c r="S83" s="95">
        <v>800</v>
      </c>
      <c r="T83" s="96">
        <v>550</v>
      </c>
      <c r="U83" s="97"/>
      <c r="V83" s="95">
        <v>1000</v>
      </c>
      <c r="W83" s="96">
        <v>1210</v>
      </c>
      <c r="X83" s="97"/>
      <c r="Y83" s="95">
        <v>400</v>
      </c>
      <c r="Z83" s="96">
        <v>440</v>
      </c>
      <c r="AA83" s="97"/>
      <c r="AB83" s="95">
        <v>500</v>
      </c>
      <c r="AC83" s="96">
        <v>420</v>
      </c>
      <c r="AD83" s="97"/>
      <c r="AE83" s="95">
        <v>1300</v>
      </c>
      <c r="AF83" s="96">
        <v>1580</v>
      </c>
      <c r="AG83" s="97"/>
      <c r="AH83" s="231">
        <f>+Janvier!AJ83</f>
        <v>895.92032967032981</v>
      </c>
      <c r="AI83" s="231">
        <f>+Janvier!AK83</f>
        <v>2787.3076923076928</v>
      </c>
      <c r="AJ83" s="231">
        <f>+Janvier!AL83</f>
        <v>2090.4807692307695</v>
      </c>
      <c r="AK83" s="231">
        <f>+Janvier!AM83</f>
        <v>2090.4807692307695</v>
      </c>
      <c r="AL83" s="231">
        <f>+Janvier!AN83</f>
        <v>1266.958041958042</v>
      </c>
      <c r="AM83" s="231">
        <f>+Janvier!AO83</f>
        <v>783.93028846153834</v>
      </c>
      <c r="AN83" s="231">
        <f>+Janvier!AP83</f>
        <v>1567.8605769230767</v>
      </c>
      <c r="AO83" s="231">
        <f>+Janvier!AQ83</f>
        <v>783.93028846153834</v>
      </c>
      <c r="AP83" s="231">
        <f>+Janvier!AR83</f>
        <v>783.93028846153834</v>
      </c>
      <c r="AQ83" s="231">
        <f>+Janvier!AS83</f>
        <v>1393.6538461538464</v>
      </c>
      <c r="AR83" s="16">
        <f>ROUND(E83/(AH83/5),0)</f>
        <v>2</v>
      </c>
      <c r="AS83" s="16">
        <f t="shared" si="135"/>
        <v>3</v>
      </c>
      <c r="AT83" s="16">
        <f t="shared" si="136"/>
        <v>4</v>
      </c>
      <c r="AU83" s="16">
        <f t="shared" si="137"/>
        <v>3</v>
      </c>
      <c r="AV83" s="16">
        <f t="shared" si="138"/>
        <v>3</v>
      </c>
      <c r="AW83" s="16">
        <f t="shared" si="139"/>
        <v>4</v>
      </c>
      <c r="AX83" s="16">
        <f t="shared" si="140"/>
        <v>4</v>
      </c>
      <c r="AY83" s="16">
        <f t="shared" si="141"/>
        <v>3</v>
      </c>
      <c r="AZ83" s="16">
        <f t="shared" si="142"/>
        <v>3</v>
      </c>
      <c r="BA83" s="17">
        <f t="shared" si="143"/>
        <v>6</v>
      </c>
    </row>
    <row r="84" spans="1:53" ht="15.6" x14ac:dyDescent="0.3">
      <c r="A84" s="199" t="s">
        <v>77</v>
      </c>
      <c r="B84" s="257" t="s">
        <v>144</v>
      </c>
      <c r="C84" s="94">
        <v>43951</v>
      </c>
      <c r="D84" s="95">
        <v>900</v>
      </c>
      <c r="E84" s="96">
        <v>860</v>
      </c>
      <c r="F84" s="97"/>
      <c r="G84" s="95">
        <v>5000</v>
      </c>
      <c r="H84" s="96">
        <v>2220</v>
      </c>
      <c r="I84" s="97"/>
      <c r="J84" s="95">
        <v>4000</v>
      </c>
      <c r="K84" s="96">
        <v>1790</v>
      </c>
      <c r="L84" s="97"/>
      <c r="M84" s="95">
        <v>4200</v>
      </c>
      <c r="N84" s="96">
        <v>1784</v>
      </c>
      <c r="O84" s="97"/>
      <c r="P84" s="95">
        <v>2550</v>
      </c>
      <c r="Q84" s="96">
        <v>961</v>
      </c>
      <c r="R84" s="97"/>
      <c r="S84" s="95">
        <v>1300</v>
      </c>
      <c r="T84" s="96">
        <v>710</v>
      </c>
      <c r="U84" s="97"/>
      <c r="V84" s="95">
        <v>1500</v>
      </c>
      <c r="W84" s="96">
        <v>2370</v>
      </c>
      <c r="X84" s="97"/>
      <c r="Y84" s="95">
        <v>1000</v>
      </c>
      <c r="Z84" s="96">
        <v>930</v>
      </c>
      <c r="AA84" s="97"/>
      <c r="AB84" s="95">
        <v>1000</v>
      </c>
      <c r="AC84" s="96">
        <v>720</v>
      </c>
      <c r="AD84" s="97"/>
      <c r="AE84" s="95">
        <v>1200</v>
      </c>
      <c r="AF84" s="96">
        <v>1780</v>
      </c>
      <c r="AG84" s="97"/>
      <c r="AH84" s="231">
        <f>+Janvier!AJ84</f>
        <v>1507.1291208791208</v>
      </c>
      <c r="AI84" s="231">
        <f>+Janvier!AK84</f>
        <v>4688.8461538461534</v>
      </c>
      <c r="AJ84" s="231">
        <f>+Janvier!AL84</f>
        <v>3516.6346153846152</v>
      </c>
      <c r="AK84" s="231">
        <f>+Janvier!AM84</f>
        <v>3516.6346153846152</v>
      </c>
      <c r="AL84" s="231">
        <f>+Janvier!AN84</f>
        <v>2131.2937062937062</v>
      </c>
      <c r="AM84" s="231">
        <f>+Janvier!AO84</f>
        <v>1318.7379807692307</v>
      </c>
      <c r="AN84" s="231">
        <f>+Janvier!AP84</f>
        <v>2637.4759615384614</v>
      </c>
      <c r="AO84" s="231">
        <f>+Janvier!AQ84</f>
        <v>1318.7379807692307</v>
      </c>
      <c r="AP84" s="231">
        <f>+Janvier!AR84</f>
        <v>1318.7379807692307</v>
      </c>
      <c r="AQ84" s="231">
        <f>+Janvier!AS84</f>
        <v>2344.4230769230767</v>
      </c>
      <c r="AR84" s="16">
        <f>ROUND(E84/(AH84/5),0)</f>
        <v>3</v>
      </c>
      <c r="AS84" s="16">
        <f t="shared" si="135"/>
        <v>2</v>
      </c>
      <c r="AT84" s="16">
        <f t="shared" si="136"/>
        <v>3</v>
      </c>
      <c r="AU84" s="16">
        <f t="shared" si="137"/>
        <v>3</v>
      </c>
      <c r="AV84" s="16">
        <f t="shared" si="138"/>
        <v>2</v>
      </c>
      <c r="AW84" s="16">
        <f t="shared" si="139"/>
        <v>3</v>
      </c>
      <c r="AX84" s="16">
        <f t="shared" si="140"/>
        <v>4</v>
      </c>
      <c r="AY84" s="16">
        <f t="shared" si="141"/>
        <v>4</v>
      </c>
      <c r="AZ84" s="16">
        <f t="shared" si="142"/>
        <v>3</v>
      </c>
      <c r="BA84" s="17">
        <f t="shared" si="143"/>
        <v>4</v>
      </c>
    </row>
    <row r="85" spans="1:53" ht="15" thickBot="1" x14ac:dyDescent="0.35">
      <c r="A85" s="121" t="s">
        <v>78</v>
      </c>
      <c r="B85" s="258" t="s">
        <v>144</v>
      </c>
      <c r="C85" s="143">
        <v>43951</v>
      </c>
      <c r="D85" s="111">
        <v>480</v>
      </c>
      <c r="E85" s="109">
        <v>280</v>
      </c>
      <c r="F85" s="110"/>
      <c r="G85" s="111">
        <v>1620</v>
      </c>
      <c r="H85" s="109">
        <v>360</v>
      </c>
      <c r="I85" s="110"/>
      <c r="J85" s="111">
        <v>1070</v>
      </c>
      <c r="K85" s="109">
        <v>160</v>
      </c>
      <c r="L85" s="110"/>
      <c r="M85" s="111">
        <v>1600</v>
      </c>
      <c r="N85" s="109">
        <v>388</v>
      </c>
      <c r="O85" s="110"/>
      <c r="P85" s="111">
        <v>750</v>
      </c>
      <c r="Q85" s="109">
        <v>330</v>
      </c>
      <c r="R85" s="110"/>
      <c r="S85" s="111">
        <v>600</v>
      </c>
      <c r="T85" s="109">
        <v>90</v>
      </c>
      <c r="U85" s="110"/>
      <c r="V85" s="111">
        <v>0</v>
      </c>
      <c r="W85" s="109">
        <v>420</v>
      </c>
      <c r="X85" s="110"/>
      <c r="Y85" s="111">
        <v>580</v>
      </c>
      <c r="Z85" s="109">
        <v>580</v>
      </c>
      <c r="AA85" s="110"/>
      <c r="AB85" s="111">
        <v>600</v>
      </c>
      <c r="AC85" s="109">
        <v>510</v>
      </c>
      <c r="AD85" s="110"/>
      <c r="AE85" s="111">
        <v>1800</v>
      </c>
      <c r="AF85" s="109">
        <v>1520</v>
      </c>
      <c r="AG85" s="110"/>
      <c r="AH85" s="231">
        <f>+Janvier!AJ85</f>
        <v>726.18131868131866</v>
      </c>
      <c r="AI85" s="231">
        <f>+Janvier!AK85</f>
        <v>2259.2307692307695</v>
      </c>
      <c r="AJ85" s="231">
        <f>+Janvier!AL85</f>
        <v>1694.4230769230774</v>
      </c>
      <c r="AK85" s="231">
        <f>+Janvier!AM85</f>
        <v>1694.4230769230774</v>
      </c>
      <c r="AL85" s="231">
        <f>+Janvier!AN85</f>
        <v>1026.9230769230771</v>
      </c>
      <c r="AM85" s="231">
        <f>+Janvier!AO85</f>
        <v>635.40865384615381</v>
      </c>
      <c r="AN85" s="231">
        <f>+Janvier!AP85</f>
        <v>1270.8173076923076</v>
      </c>
      <c r="AO85" s="231">
        <f>+Janvier!AQ85</f>
        <v>635.40865384615381</v>
      </c>
      <c r="AP85" s="231">
        <f>+Janvier!AR85</f>
        <v>635.40865384615381</v>
      </c>
      <c r="AQ85" s="231">
        <f>+Janvier!AS85</f>
        <v>1129.6153846153848</v>
      </c>
      <c r="AR85" s="16">
        <f>ROUND(E85/(AH85/5),0)</f>
        <v>2</v>
      </c>
      <c r="AS85" s="16">
        <f t="shared" si="135"/>
        <v>1</v>
      </c>
      <c r="AT85" s="16">
        <f t="shared" si="136"/>
        <v>0</v>
      </c>
      <c r="AU85" s="16">
        <f t="shared" si="137"/>
        <v>1</v>
      </c>
      <c r="AV85" s="16">
        <f t="shared" si="138"/>
        <v>2</v>
      </c>
      <c r="AW85" s="16">
        <f t="shared" si="139"/>
        <v>1</v>
      </c>
      <c r="AX85" s="16">
        <f t="shared" si="140"/>
        <v>2</v>
      </c>
      <c r="AY85" s="16">
        <f t="shared" si="141"/>
        <v>5</v>
      </c>
      <c r="AZ85" s="16">
        <f t="shared" si="142"/>
        <v>4</v>
      </c>
      <c r="BA85" s="17">
        <f t="shared" si="143"/>
        <v>7</v>
      </c>
    </row>
    <row r="86" spans="1:53" x14ac:dyDescent="0.3">
      <c r="B86" s="192"/>
      <c r="C86" s="3"/>
      <c r="D86" s="3"/>
      <c r="E86" s="192"/>
      <c r="F86" s="192"/>
      <c r="G86" s="192"/>
      <c r="H86" s="192"/>
      <c r="I86" s="192"/>
      <c r="J86" s="192"/>
      <c r="K86" s="192"/>
      <c r="L86" s="192"/>
      <c r="M86" s="192"/>
      <c r="N86" s="192"/>
      <c r="O86" s="192"/>
      <c r="P86" s="192"/>
      <c r="Q86" s="192"/>
      <c r="R86" s="192"/>
      <c r="S86" s="192"/>
      <c r="T86" s="192"/>
      <c r="U86" s="192"/>
      <c r="V86" s="192"/>
      <c r="W86" s="192"/>
      <c r="X86" s="192"/>
      <c r="Y86" s="192"/>
      <c r="Z86" s="192"/>
      <c r="AA86" s="192"/>
      <c r="AB86" s="192"/>
      <c r="AC86" s="192"/>
      <c r="AD86" s="192"/>
      <c r="AE86" s="192"/>
      <c r="AF86" s="192"/>
      <c r="AG86" s="192"/>
      <c r="AR86" s="183" t="s">
        <v>2</v>
      </c>
      <c r="AS86" s="183" t="s">
        <v>80</v>
      </c>
      <c r="AT86" s="183" t="s">
        <v>81</v>
      </c>
      <c r="AU86" s="183" t="s">
        <v>5</v>
      </c>
      <c r="AV86" s="183" t="s">
        <v>82</v>
      </c>
      <c r="AW86" s="183" t="s">
        <v>7</v>
      </c>
      <c r="AX86" s="183" t="s">
        <v>8</v>
      </c>
      <c r="AY86" s="183" t="s">
        <v>9</v>
      </c>
      <c r="AZ86" s="183" t="s">
        <v>10</v>
      </c>
      <c r="BA86" s="183" t="s">
        <v>11</v>
      </c>
    </row>
    <row r="87" spans="1:53" x14ac:dyDescent="0.3">
      <c r="B87" s="192"/>
      <c r="C87" s="3"/>
      <c r="D87" s="3"/>
      <c r="E87" s="192"/>
      <c r="F87" s="192"/>
      <c r="G87" s="192"/>
      <c r="H87" s="192"/>
      <c r="I87" s="192"/>
      <c r="J87" s="192"/>
      <c r="K87" s="192"/>
      <c r="L87" s="192"/>
      <c r="M87" s="192"/>
      <c r="N87" s="192"/>
      <c r="O87" s="192"/>
      <c r="P87" s="192"/>
      <c r="Q87" s="192"/>
      <c r="R87" s="192"/>
      <c r="S87" s="192"/>
      <c r="T87" s="192"/>
      <c r="U87" s="192"/>
      <c r="V87" s="192"/>
      <c r="W87" s="192"/>
      <c r="X87" s="192"/>
      <c r="Y87" s="192"/>
      <c r="Z87" s="192"/>
      <c r="AA87" s="192"/>
      <c r="AB87" s="192"/>
      <c r="AC87" s="192"/>
      <c r="AD87" s="192"/>
      <c r="AE87" s="192"/>
      <c r="AF87" s="192"/>
      <c r="AG87" s="192"/>
    </row>
  </sheetData>
  <mergeCells count="16">
    <mergeCell ref="D3:AF3"/>
    <mergeCell ref="AE4:AG4"/>
    <mergeCell ref="A1:AF1"/>
    <mergeCell ref="AH3:AQ3"/>
    <mergeCell ref="AR3:BA3"/>
    <mergeCell ref="A4:A5"/>
    <mergeCell ref="B4:C4"/>
    <mergeCell ref="D4:F4"/>
    <mergeCell ref="G4:I4"/>
    <mergeCell ref="J4:L4"/>
    <mergeCell ref="M4:O4"/>
    <mergeCell ref="P4:R4"/>
    <mergeCell ref="S4:U4"/>
    <mergeCell ref="V4:X4"/>
    <mergeCell ref="Y4:AA4"/>
    <mergeCell ref="AB4:AD4"/>
  </mergeCells>
  <conditionalFormatting sqref="AR6:BA6 AR14:BA14 AR21:BA21 AR30:BA30 AR40:BA40 AR54:BA54 AR68:BA68 AR80:BA80">
    <cfRule type="cellIs" dxfId="95" priority="5" operator="lessThanOrEqual">
      <formula>3</formula>
    </cfRule>
    <cfRule type="cellIs" dxfId="94" priority="6" operator="between">
      <formula>3.01</formula>
      <formula>5</formula>
    </cfRule>
    <cfRule type="cellIs" dxfId="93" priority="7" operator="between">
      <formula>5.01</formula>
      <formula>15</formula>
    </cfRule>
    <cfRule type="cellIs" dxfId="92" priority="8" operator="greaterThan">
      <formula>15</formula>
    </cfRule>
  </conditionalFormatting>
  <conditionalFormatting sqref="AR7:BA13 AR15:BA20 AR22:BA29 AR31:BA39 AR41:BA53 AR55:BA67 AR69:BA79 AR81:BA85">
    <cfRule type="cellIs" dxfId="91" priority="1" operator="lessThanOrEqual">
      <formula>1</formula>
    </cfRule>
    <cfRule type="cellIs" dxfId="90" priority="2" operator="between">
      <formula>1.01</formula>
      <formula>2</formula>
    </cfRule>
    <cfRule type="cellIs" dxfId="89" priority="3" operator="between">
      <formula>2.01</formula>
      <formula>5</formula>
    </cfRule>
    <cfRule type="cellIs" dxfId="88" priority="4" operator="greaterThan">
      <formula>5</formula>
    </cfRule>
  </conditionalFormatting>
  <dataValidations count="1">
    <dataValidation type="decimal" allowBlank="1" showInputMessage="1" showErrorMessage="1" promptTitle="Coverage:" prompt="Indicate the targeted immunization coverage for the current year." sqref="AH5:AQ5" xr:uid="{00000000-0002-0000-0300-000000000000}">
      <formula1>0</formula1>
      <formula2>1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A87"/>
  <sheetViews>
    <sheetView zoomScale="92" zoomScaleNormal="92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I15" sqref="I15"/>
    </sheetView>
  </sheetViews>
  <sheetFormatPr defaultColWidth="11.5546875" defaultRowHeight="14.4" x14ac:dyDescent="0.3"/>
  <cols>
    <col min="1" max="1" width="19.5546875" style="183" bestFit="1" customWidth="1"/>
    <col min="2" max="2" width="13.5546875" style="183" customWidth="1"/>
    <col min="3" max="3" width="16.5546875" style="183" customWidth="1"/>
    <col min="4" max="4" width="11.109375" style="183" customWidth="1"/>
    <col min="5" max="5" width="12.33203125" style="183" customWidth="1"/>
    <col min="6" max="7" width="12.5546875" style="183" customWidth="1"/>
    <col min="8" max="8" width="14.109375" style="183" customWidth="1"/>
    <col min="9" max="9" width="12.5546875" style="183" customWidth="1"/>
    <col min="10" max="10" width="13.88671875" style="183" customWidth="1"/>
    <col min="11" max="11" width="16" style="183" customWidth="1"/>
    <col min="12" max="12" width="9.88671875" style="183" customWidth="1"/>
    <col min="13" max="13" width="11.6640625" style="183" customWidth="1"/>
    <col min="14" max="14" width="8.44140625" style="183" customWidth="1"/>
    <col min="15" max="15" width="11.88671875" style="183" customWidth="1"/>
    <col min="16" max="16" width="10.33203125" style="183" customWidth="1"/>
    <col min="17" max="17" width="8.44140625" style="183" customWidth="1"/>
    <col min="18" max="18" width="13.44140625" style="183" customWidth="1"/>
    <col min="19" max="19" width="10.44140625" style="183" customWidth="1"/>
    <col min="20" max="20" width="7.44140625" style="183" customWidth="1"/>
    <col min="21" max="21" width="13.44140625" style="183" customWidth="1"/>
    <col min="22" max="22" width="9.5546875" style="183" customWidth="1"/>
    <col min="23" max="23" width="8.44140625" style="183" customWidth="1"/>
    <col min="24" max="24" width="12.6640625" style="183" customWidth="1"/>
    <col min="25" max="25" width="9.5546875" style="183" customWidth="1"/>
    <col min="26" max="26" width="9.44140625" style="183" customWidth="1"/>
    <col min="27" max="27" width="10" style="183" customWidth="1"/>
    <col min="28" max="28" width="9.6640625" style="183" customWidth="1"/>
    <col min="29" max="29" width="10.6640625" style="183" customWidth="1"/>
    <col min="30" max="30" width="12.33203125" style="183" customWidth="1"/>
    <col min="31" max="31" width="10" style="183" customWidth="1"/>
    <col min="32" max="32" width="10.33203125" style="183" customWidth="1"/>
    <col min="33" max="33" width="14" style="183" customWidth="1"/>
    <col min="34" max="43" width="11.6640625" style="183" customWidth="1"/>
    <col min="44" max="53" width="15.109375" style="183" customWidth="1"/>
    <col min="54" max="16384" width="11.5546875" style="183"/>
  </cols>
  <sheetData>
    <row r="1" spans="1:53" ht="18" x14ac:dyDescent="0.35">
      <c r="A1" s="414" t="s">
        <v>0</v>
      </c>
      <c r="B1" s="414"/>
      <c r="C1" s="414"/>
      <c r="D1" s="414"/>
      <c r="E1" s="414"/>
      <c r="F1" s="414"/>
      <c r="G1" s="414"/>
      <c r="H1" s="414"/>
      <c r="I1" s="414"/>
      <c r="J1" s="414"/>
      <c r="K1" s="414"/>
      <c r="L1" s="414"/>
      <c r="M1" s="414"/>
      <c r="N1" s="414"/>
      <c r="O1" s="414"/>
      <c r="P1" s="414"/>
      <c r="Q1" s="414"/>
      <c r="R1" s="414"/>
      <c r="S1" s="414"/>
      <c r="T1" s="414"/>
      <c r="U1" s="414"/>
      <c r="V1" s="414"/>
      <c r="W1" s="414"/>
      <c r="X1" s="414"/>
      <c r="Y1" s="414"/>
      <c r="Z1" s="414"/>
      <c r="AA1" s="414"/>
      <c r="AB1" s="414"/>
      <c r="AC1" s="414"/>
      <c r="AD1" s="414"/>
      <c r="AE1" s="414"/>
      <c r="AF1" s="414"/>
      <c r="AG1" s="195"/>
    </row>
    <row r="2" spans="1:53" ht="18" x14ac:dyDescent="0.35">
      <c r="A2" s="195"/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5"/>
      <c r="Y2" s="195"/>
      <c r="Z2" s="195"/>
      <c r="AA2" s="195"/>
      <c r="AB2" s="195"/>
      <c r="AC2" s="195"/>
      <c r="AD2" s="195"/>
      <c r="AE2" s="195"/>
      <c r="AF2" s="9"/>
      <c r="AG2" s="9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0"/>
    </row>
    <row r="3" spans="1:53" ht="16.2" thickBot="1" x14ac:dyDescent="0.35">
      <c r="D3" s="413" t="s">
        <v>98</v>
      </c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  <c r="R3" s="413"/>
      <c r="S3" s="413"/>
      <c r="T3" s="413"/>
      <c r="U3" s="413"/>
      <c r="V3" s="413"/>
      <c r="W3" s="413"/>
      <c r="X3" s="413"/>
      <c r="Y3" s="413"/>
      <c r="Z3" s="413"/>
      <c r="AA3" s="413"/>
      <c r="AB3" s="413"/>
      <c r="AC3" s="413"/>
      <c r="AD3" s="413"/>
      <c r="AE3" s="413"/>
      <c r="AF3" s="413"/>
      <c r="AG3" s="196"/>
      <c r="AH3" s="449" t="s">
        <v>12</v>
      </c>
      <c r="AI3" s="449"/>
      <c r="AJ3" s="449"/>
      <c r="AK3" s="449"/>
      <c r="AL3" s="449"/>
      <c r="AM3" s="449"/>
      <c r="AN3" s="449"/>
      <c r="AO3" s="449"/>
      <c r="AP3" s="449"/>
      <c r="AQ3" s="449"/>
      <c r="AR3" s="417" t="s">
        <v>13</v>
      </c>
      <c r="AS3" s="417"/>
      <c r="AT3" s="417"/>
      <c r="AU3" s="417"/>
      <c r="AV3" s="417"/>
      <c r="AW3" s="417"/>
      <c r="AX3" s="417"/>
      <c r="AY3" s="417"/>
      <c r="AZ3" s="417"/>
      <c r="BA3" s="417"/>
    </row>
    <row r="4" spans="1:53" ht="16.2" thickBot="1" x14ac:dyDescent="0.35">
      <c r="A4" s="450" t="s">
        <v>1</v>
      </c>
      <c r="B4" s="452" t="s">
        <v>92</v>
      </c>
      <c r="C4" s="453"/>
      <c r="D4" s="420" t="s">
        <v>2</v>
      </c>
      <c r="E4" s="420"/>
      <c r="F4" s="421"/>
      <c r="G4" s="422" t="s">
        <v>3</v>
      </c>
      <c r="H4" s="423"/>
      <c r="I4" s="424"/>
      <c r="J4" s="425" t="s">
        <v>4</v>
      </c>
      <c r="K4" s="426"/>
      <c r="L4" s="427"/>
      <c r="M4" s="446" t="s">
        <v>5</v>
      </c>
      <c r="N4" s="447"/>
      <c r="O4" s="448"/>
      <c r="P4" s="428" t="s">
        <v>6</v>
      </c>
      <c r="Q4" s="429"/>
      <c r="R4" s="430"/>
      <c r="S4" s="431" t="s">
        <v>7</v>
      </c>
      <c r="T4" s="432"/>
      <c r="U4" s="433"/>
      <c r="V4" s="434" t="s">
        <v>8</v>
      </c>
      <c r="W4" s="435"/>
      <c r="X4" s="436"/>
      <c r="Y4" s="437" t="s">
        <v>9</v>
      </c>
      <c r="Z4" s="438"/>
      <c r="AA4" s="439"/>
      <c r="AB4" s="440" t="s">
        <v>10</v>
      </c>
      <c r="AC4" s="441"/>
      <c r="AD4" s="442"/>
      <c r="AE4" s="443" t="s">
        <v>11</v>
      </c>
      <c r="AF4" s="444"/>
      <c r="AG4" s="444"/>
      <c r="AH4" s="206" t="s">
        <v>2</v>
      </c>
      <c r="AI4" s="206" t="s">
        <v>3</v>
      </c>
      <c r="AJ4" s="206" t="s">
        <v>4</v>
      </c>
      <c r="AK4" s="206" t="s">
        <v>5</v>
      </c>
      <c r="AL4" s="206" t="s">
        <v>6</v>
      </c>
      <c r="AM4" s="206" t="s">
        <v>7</v>
      </c>
      <c r="AN4" s="206" t="s">
        <v>8</v>
      </c>
      <c r="AO4" s="206" t="s">
        <v>9</v>
      </c>
      <c r="AP4" s="206" t="s">
        <v>10</v>
      </c>
      <c r="AQ4" s="206" t="s">
        <v>11</v>
      </c>
      <c r="AR4" s="186" t="s">
        <v>2</v>
      </c>
      <c r="AS4" s="186" t="s">
        <v>3</v>
      </c>
      <c r="AT4" s="186" t="s">
        <v>4</v>
      </c>
      <c r="AU4" s="186" t="s">
        <v>5</v>
      </c>
      <c r="AV4" s="186" t="s">
        <v>6</v>
      </c>
      <c r="AW4" s="186" t="s">
        <v>7</v>
      </c>
      <c r="AX4" s="186" t="s">
        <v>8</v>
      </c>
      <c r="AY4" s="186" t="s">
        <v>9</v>
      </c>
      <c r="AZ4" s="186" t="s">
        <v>10</v>
      </c>
      <c r="BA4" s="197" t="s">
        <v>11</v>
      </c>
    </row>
    <row r="5" spans="1:53" ht="15.75" customHeight="1" thickBot="1" x14ac:dyDescent="0.35">
      <c r="A5" s="451"/>
      <c r="B5" s="135" t="s">
        <v>93</v>
      </c>
      <c r="C5" s="136" t="s">
        <v>94</v>
      </c>
      <c r="D5" s="187" t="s">
        <v>95</v>
      </c>
      <c r="E5" s="188" t="s">
        <v>96</v>
      </c>
      <c r="F5" s="189" t="s">
        <v>97</v>
      </c>
      <c r="G5" s="190" t="s">
        <v>95</v>
      </c>
      <c r="H5" s="188" t="s">
        <v>96</v>
      </c>
      <c r="I5" s="191" t="s">
        <v>97</v>
      </c>
      <c r="J5" s="137" t="s">
        <v>95</v>
      </c>
      <c r="K5" s="138" t="s">
        <v>96</v>
      </c>
      <c r="L5" s="139" t="s">
        <v>97</v>
      </c>
      <c r="M5" s="187" t="s">
        <v>95</v>
      </c>
      <c r="N5" s="188" t="s">
        <v>96</v>
      </c>
      <c r="O5" s="189" t="s">
        <v>97</v>
      </c>
      <c r="P5" s="190" t="s">
        <v>95</v>
      </c>
      <c r="Q5" s="188" t="s">
        <v>96</v>
      </c>
      <c r="R5" s="189" t="s">
        <v>97</v>
      </c>
      <c r="S5" s="190" t="s">
        <v>95</v>
      </c>
      <c r="T5" s="188" t="s">
        <v>96</v>
      </c>
      <c r="U5" s="189" t="s">
        <v>97</v>
      </c>
      <c r="V5" s="190" t="s">
        <v>95</v>
      </c>
      <c r="W5" s="188" t="s">
        <v>96</v>
      </c>
      <c r="X5" s="189" t="s">
        <v>97</v>
      </c>
      <c r="Y5" s="190" t="s">
        <v>95</v>
      </c>
      <c r="Z5" s="188" t="s">
        <v>96</v>
      </c>
      <c r="AA5" s="189" t="s">
        <v>97</v>
      </c>
      <c r="AB5" s="190" t="s">
        <v>95</v>
      </c>
      <c r="AC5" s="188" t="s">
        <v>96</v>
      </c>
      <c r="AD5" s="189" t="s">
        <v>97</v>
      </c>
      <c r="AE5" s="190" t="s">
        <v>95</v>
      </c>
      <c r="AF5" s="188" t="s">
        <v>96</v>
      </c>
      <c r="AG5" s="191" t="s">
        <v>97</v>
      </c>
      <c r="AH5" s="229">
        <v>0.9</v>
      </c>
      <c r="AI5" s="229">
        <v>0.9</v>
      </c>
      <c r="AJ5" s="229">
        <v>0.9</v>
      </c>
      <c r="AK5" s="229">
        <v>0.9</v>
      </c>
      <c r="AL5" s="229">
        <v>0.9</v>
      </c>
      <c r="AM5" s="229">
        <v>0.9</v>
      </c>
      <c r="AN5" s="229">
        <v>0.9</v>
      </c>
      <c r="AO5" s="229">
        <v>0.9</v>
      </c>
      <c r="AP5" s="229">
        <v>0.9</v>
      </c>
      <c r="AQ5" s="230">
        <v>0.9</v>
      </c>
      <c r="AR5" s="12"/>
      <c r="AS5" s="12"/>
      <c r="AT5" s="12"/>
      <c r="AU5" s="12"/>
      <c r="AV5" s="12"/>
      <c r="AW5" s="12"/>
      <c r="AX5" s="12"/>
      <c r="AY5" s="12"/>
      <c r="AZ5" s="12"/>
      <c r="BA5" s="13"/>
    </row>
    <row r="6" spans="1:53" x14ac:dyDescent="0.3">
      <c r="A6" s="140" t="s">
        <v>87</v>
      </c>
      <c r="B6" s="141">
        <v>43952</v>
      </c>
      <c r="C6" s="232">
        <v>43982</v>
      </c>
      <c r="D6" s="142">
        <v>12000</v>
      </c>
      <c r="E6" s="240">
        <v>11420</v>
      </c>
      <c r="F6" s="241">
        <v>0</v>
      </c>
      <c r="G6" s="235">
        <v>5000</v>
      </c>
      <c r="H6" s="142">
        <v>25040</v>
      </c>
      <c r="I6" s="142">
        <v>0</v>
      </c>
      <c r="J6" s="142">
        <v>13700</v>
      </c>
      <c r="K6" s="142">
        <v>17080</v>
      </c>
      <c r="L6" s="142">
        <v>0</v>
      </c>
      <c r="M6" s="142">
        <v>8300</v>
      </c>
      <c r="N6" s="142">
        <v>18312</v>
      </c>
      <c r="O6" s="142">
        <v>0</v>
      </c>
      <c r="P6" s="142">
        <v>9500</v>
      </c>
      <c r="Q6" s="142">
        <v>12175</v>
      </c>
      <c r="R6" s="142">
        <v>0</v>
      </c>
      <c r="S6" s="142">
        <v>4900</v>
      </c>
      <c r="T6" s="142">
        <v>5990</v>
      </c>
      <c r="U6" s="142">
        <v>0</v>
      </c>
      <c r="V6" s="142">
        <v>7500</v>
      </c>
      <c r="W6" s="142">
        <v>8200</v>
      </c>
      <c r="X6" s="142">
        <v>0</v>
      </c>
      <c r="Y6" s="142">
        <v>5000</v>
      </c>
      <c r="Z6" s="142">
        <v>8200</v>
      </c>
      <c r="AA6" s="142">
        <v>0</v>
      </c>
      <c r="AB6" s="142">
        <v>4500</v>
      </c>
      <c r="AC6" s="142">
        <v>7420</v>
      </c>
      <c r="AD6" s="142">
        <v>0</v>
      </c>
      <c r="AE6" s="142">
        <v>9800</v>
      </c>
      <c r="AF6" s="142">
        <v>17830</v>
      </c>
      <c r="AG6" s="222">
        <v>0</v>
      </c>
      <c r="AH6" s="231">
        <f>+Janvier!AJ6</f>
        <v>8562.51</v>
      </c>
      <c r="AI6" s="231">
        <f>+Janvier!AK6</f>
        <v>29828.509615384621</v>
      </c>
      <c r="AJ6" s="231">
        <f>+Janvier!AL6</f>
        <v>19865.787403846156</v>
      </c>
      <c r="AK6" s="231">
        <f>+Janvier!AM6</f>
        <v>19865.787403846156</v>
      </c>
      <c r="AL6" s="231">
        <f>+Janvier!AN6</f>
        <v>12527.97403846154</v>
      </c>
      <c r="AM6" s="231">
        <f>+Janvier!AO6</f>
        <v>7457.1274038461552</v>
      </c>
      <c r="AN6" s="231">
        <f>+Janvier!AP6</f>
        <v>14914.25480769231</v>
      </c>
      <c r="AO6" s="231">
        <f>+Janvier!AQ6</f>
        <v>7457.1274038461552</v>
      </c>
      <c r="AP6" s="231">
        <f>+Janvier!AR6</f>
        <v>7457.1274038461552</v>
      </c>
      <c r="AQ6" s="231">
        <f>+Janvier!AS6</f>
        <v>13292.847692307696</v>
      </c>
      <c r="AR6" s="16">
        <f>ROUND(E6/(AH6/15),0)</f>
        <v>20</v>
      </c>
      <c r="AS6" s="16">
        <f>ROUND(H6/(AI6/15),0)</f>
        <v>13</v>
      </c>
      <c r="AT6" s="16">
        <f>ROUND(K6/(AJ6/15),0)</f>
        <v>13</v>
      </c>
      <c r="AU6" s="16">
        <f>ROUND(N6/(AK6/15),0)</f>
        <v>14</v>
      </c>
      <c r="AV6" s="16">
        <f>ROUND(Q6/(AL6/15),0)</f>
        <v>15</v>
      </c>
      <c r="AW6" s="16">
        <f>ROUND(T6/(AM6/15),0)</f>
        <v>12</v>
      </c>
      <c r="AX6" s="16">
        <f>ROUND(W6/(AN6/15),0)</f>
        <v>8</v>
      </c>
      <c r="AY6" s="16">
        <f>ROUND(Z6/(AO6/15),0)</f>
        <v>16</v>
      </c>
      <c r="AZ6" s="16">
        <f>ROUND(AC6/(AP6/15),0)</f>
        <v>15</v>
      </c>
      <c r="BA6" s="17">
        <f t="shared" ref="BA6" si="0">ROUND(AF6/(AQ6/15),0)</f>
        <v>20</v>
      </c>
    </row>
    <row r="7" spans="1:53" x14ac:dyDescent="0.3">
      <c r="A7" s="184" t="s">
        <v>100</v>
      </c>
      <c r="B7" s="94">
        <v>43952</v>
      </c>
      <c r="C7" s="233">
        <v>43982</v>
      </c>
      <c r="D7" s="107">
        <v>180</v>
      </c>
      <c r="E7" s="106">
        <v>120</v>
      </c>
      <c r="F7" s="117">
        <v>0</v>
      </c>
      <c r="G7" s="236">
        <v>360</v>
      </c>
      <c r="H7" s="96">
        <v>280</v>
      </c>
      <c r="I7" s="105">
        <v>0</v>
      </c>
      <c r="J7" s="95">
        <v>290</v>
      </c>
      <c r="K7" s="96">
        <v>190</v>
      </c>
      <c r="L7" s="97">
        <v>0</v>
      </c>
      <c r="M7" s="95">
        <v>290</v>
      </c>
      <c r="N7" s="96">
        <v>196</v>
      </c>
      <c r="O7" s="97">
        <v>0</v>
      </c>
      <c r="P7" s="95">
        <v>100</v>
      </c>
      <c r="Q7" s="96">
        <v>130</v>
      </c>
      <c r="R7" s="97">
        <v>0</v>
      </c>
      <c r="S7" s="95">
        <v>80</v>
      </c>
      <c r="T7" s="96">
        <v>80</v>
      </c>
      <c r="U7" s="97">
        <v>0</v>
      </c>
      <c r="V7" s="95">
        <v>160</v>
      </c>
      <c r="W7" s="96">
        <v>200</v>
      </c>
      <c r="X7" s="97">
        <v>0</v>
      </c>
      <c r="Y7" s="95">
        <v>110</v>
      </c>
      <c r="Z7" s="96">
        <v>80</v>
      </c>
      <c r="AA7" s="97">
        <v>0</v>
      </c>
      <c r="AB7" s="95">
        <v>170</v>
      </c>
      <c r="AC7" s="96">
        <v>20</v>
      </c>
      <c r="AD7" s="97">
        <v>0</v>
      </c>
      <c r="AE7" s="95">
        <v>240</v>
      </c>
      <c r="AF7" s="96">
        <v>240</v>
      </c>
      <c r="AG7" s="105">
        <v>0</v>
      </c>
      <c r="AH7" s="231">
        <f>+Janvier!AJ7</f>
        <v>205.71428571428572</v>
      </c>
      <c r="AI7" s="231">
        <f>+Janvier!AK7</f>
        <v>640.00000000000011</v>
      </c>
      <c r="AJ7" s="231">
        <f>+Janvier!AL7</f>
        <v>480</v>
      </c>
      <c r="AK7" s="231">
        <f>+Janvier!AM7</f>
        <v>480</v>
      </c>
      <c r="AL7" s="231">
        <f>+Janvier!AN7</f>
        <v>290.90909090909099</v>
      </c>
      <c r="AM7" s="231">
        <f>+Janvier!AO7</f>
        <v>180.00000000000003</v>
      </c>
      <c r="AN7" s="231">
        <f>+Janvier!AP7</f>
        <v>360.00000000000006</v>
      </c>
      <c r="AO7" s="231">
        <f>+Janvier!AQ7</f>
        <v>180.00000000000003</v>
      </c>
      <c r="AP7" s="231">
        <f>+Janvier!AR7</f>
        <v>180.00000000000003</v>
      </c>
      <c r="AQ7" s="231">
        <f>+Janvier!AS7</f>
        <v>320.00000000000006</v>
      </c>
      <c r="AR7" s="19">
        <f t="shared" ref="AR7:AR13" si="1">ROUND(E7/(AH7/5),0)</f>
        <v>3</v>
      </c>
      <c r="AS7" s="19">
        <f>ROUND(H7/(AI7/5),0)</f>
        <v>2</v>
      </c>
      <c r="AT7" s="19">
        <f>ROUND(K7/(AJ7/5),0)</f>
        <v>2</v>
      </c>
      <c r="AU7" s="19">
        <f>ROUND(N7/(AK7/5),0)</f>
        <v>2</v>
      </c>
      <c r="AV7" s="19">
        <f>ROUND(Q7/(AL7/5),0)</f>
        <v>2</v>
      </c>
      <c r="AW7" s="19">
        <f>ROUND(T7/(AM7/5),0)</f>
        <v>2</v>
      </c>
      <c r="AX7" s="19">
        <f>ROUND(W7/(AN7/5),0)</f>
        <v>3</v>
      </c>
      <c r="AY7" s="19">
        <f>ROUND(Z7/(AO7/5),0)</f>
        <v>2</v>
      </c>
      <c r="AZ7" s="19">
        <f>ROUND(AC7/(AP7/5),0)</f>
        <v>1</v>
      </c>
      <c r="BA7" s="20">
        <f t="shared" ref="BA7:BA13" si="2">ROUND(AF7/(AQ7/5),0)</f>
        <v>4</v>
      </c>
    </row>
    <row r="8" spans="1:53" x14ac:dyDescent="0.3">
      <c r="A8" s="184" t="s">
        <v>101</v>
      </c>
      <c r="B8" s="94">
        <v>43952</v>
      </c>
      <c r="C8" s="233">
        <v>43982</v>
      </c>
      <c r="D8" s="107">
        <v>900</v>
      </c>
      <c r="E8" s="96">
        <v>1000</v>
      </c>
      <c r="F8" s="97">
        <v>2</v>
      </c>
      <c r="G8" s="237">
        <v>1040</v>
      </c>
      <c r="H8" s="96">
        <v>560</v>
      </c>
      <c r="I8" s="105">
        <v>0</v>
      </c>
      <c r="J8" s="95">
        <v>1030</v>
      </c>
      <c r="K8" s="96">
        <v>760</v>
      </c>
      <c r="L8" s="97">
        <v>0</v>
      </c>
      <c r="M8" s="95">
        <v>1040</v>
      </c>
      <c r="N8" s="96">
        <v>692</v>
      </c>
      <c r="O8" s="97">
        <v>0</v>
      </c>
      <c r="P8" s="95">
        <v>670</v>
      </c>
      <c r="Q8" s="96">
        <v>816</v>
      </c>
      <c r="R8" s="97">
        <v>0</v>
      </c>
      <c r="S8" s="95">
        <v>350</v>
      </c>
      <c r="T8" s="96">
        <v>210</v>
      </c>
      <c r="U8" s="97">
        <v>0</v>
      </c>
      <c r="V8" s="95">
        <v>430</v>
      </c>
      <c r="W8" s="96">
        <v>730</v>
      </c>
      <c r="X8" s="97">
        <v>0</v>
      </c>
      <c r="Y8" s="95">
        <v>320</v>
      </c>
      <c r="Z8" s="96">
        <v>360</v>
      </c>
      <c r="AA8" s="97">
        <v>0</v>
      </c>
      <c r="AB8" s="95">
        <v>300</v>
      </c>
      <c r="AC8" s="96">
        <v>330</v>
      </c>
      <c r="AD8" s="97">
        <v>0</v>
      </c>
      <c r="AE8" s="95">
        <v>510</v>
      </c>
      <c r="AF8" s="96">
        <v>620</v>
      </c>
      <c r="AG8" s="105">
        <v>0</v>
      </c>
      <c r="AH8" s="231">
        <f>+Janvier!AJ8</f>
        <v>676.23626373626382</v>
      </c>
      <c r="AI8" s="231">
        <f>+Janvier!AK8</f>
        <v>2103.8461538461538</v>
      </c>
      <c r="AJ8" s="231">
        <f>+Janvier!AL8</f>
        <v>1577.8846153846155</v>
      </c>
      <c r="AK8" s="231">
        <f>+Janvier!AM8</f>
        <v>1577.8846153846155</v>
      </c>
      <c r="AL8" s="231">
        <f>+Janvier!AN8</f>
        <v>956.29370629370646</v>
      </c>
      <c r="AM8" s="231">
        <f>+Janvier!AO8</f>
        <v>591.70673076923083</v>
      </c>
      <c r="AN8" s="231">
        <f>+Janvier!AP8</f>
        <v>1183.4134615384617</v>
      </c>
      <c r="AO8" s="231">
        <f>+Janvier!AQ8</f>
        <v>591.70673076923083</v>
      </c>
      <c r="AP8" s="231">
        <f>+Janvier!AR8</f>
        <v>591.70673076923083</v>
      </c>
      <c r="AQ8" s="231">
        <f>+Janvier!AS8</f>
        <v>1051.9230769230769</v>
      </c>
      <c r="AR8" s="19">
        <f t="shared" si="1"/>
        <v>7</v>
      </c>
      <c r="AS8" s="19">
        <f t="shared" ref="AS8:AS13" si="3">ROUND(H8/(AI8/5),0)</f>
        <v>1</v>
      </c>
      <c r="AT8" s="19">
        <f t="shared" ref="AT8:AT13" si="4">ROUND(K8/(AJ8/5),0)</f>
        <v>2</v>
      </c>
      <c r="AU8" s="19">
        <f t="shared" ref="AU8:AU13" si="5">ROUND(N8/(AK8/5),0)</f>
        <v>2</v>
      </c>
      <c r="AV8" s="19">
        <f t="shared" ref="AV8:AV13" si="6">ROUND(Q8/(AL8/5),0)</f>
        <v>4</v>
      </c>
      <c r="AW8" s="19">
        <f t="shared" ref="AW8:AW13" si="7">ROUND(T8/(AM8/5),0)</f>
        <v>2</v>
      </c>
      <c r="AX8" s="19">
        <f t="shared" ref="AX8:AX13" si="8">ROUND(W8/(AN8/5),0)</f>
        <v>3</v>
      </c>
      <c r="AY8" s="19">
        <f t="shared" ref="AY8:AY13" si="9">ROUND(Z8/(AO8/5),0)</f>
        <v>3</v>
      </c>
      <c r="AZ8" s="19">
        <f t="shared" ref="AZ8:AZ13" si="10">ROUND(AC8/(AP8/5),0)</f>
        <v>3</v>
      </c>
      <c r="BA8" s="20">
        <f t="shared" si="2"/>
        <v>3</v>
      </c>
    </row>
    <row r="9" spans="1:53" x14ac:dyDescent="0.3">
      <c r="A9" s="184" t="s">
        <v>102</v>
      </c>
      <c r="B9" s="94">
        <v>43952</v>
      </c>
      <c r="C9" s="233">
        <v>43982</v>
      </c>
      <c r="D9" s="107">
        <v>640</v>
      </c>
      <c r="E9" s="96">
        <v>900</v>
      </c>
      <c r="F9" s="97">
        <v>0</v>
      </c>
      <c r="G9" s="237">
        <v>2260</v>
      </c>
      <c r="H9" s="96">
        <v>2260</v>
      </c>
      <c r="I9" s="105">
        <v>12</v>
      </c>
      <c r="J9" s="95">
        <v>1700</v>
      </c>
      <c r="K9" s="96">
        <v>1820</v>
      </c>
      <c r="L9" s="97">
        <v>0</v>
      </c>
      <c r="M9" s="95">
        <v>1512</v>
      </c>
      <c r="N9" s="96">
        <v>1696</v>
      </c>
      <c r="O9" s="97">
        <v>0</v>
      </c>
      <c r="P9" s="95">
        <v>1086</v>
      </c>
      <c r="Q9" s="96">
        <v>1086</v>
      </c>
      <c r="R9" s="97">
        <v>12</v>
      </c>
      <c r="S9" s="95">
        <v>570</v>
      </c>
      <c r="T9" s="96">
        <v>580</v>
      </c>
      <c r="U9" s="97">
        <v>12</v>
      </c>
      <c r="V9" s="95">
        <v>550</v>
      </c>
      <c r="W9" s="96">
        <v>1350</v>
      </c>
      <c r="X9" s="97">
        <v>0</v>
      </c>
      <c r="Y9" s="95">
        <v>400</v>
      </c>
      <c r="Z9" s="96">
        <v>610</v>
      </c>
      <c r="AA9" s="97">
        <v>0</v>
      </c>
      <c r="AB9" s="95">
        <v>380</v>
      </c>
      <c r="AC9" s="96">
        <v>600</v>
      </c>
      <c r="AD9" s="97">
        <v>0</v>
      </c>
      <c r="AE9" s="95">
        <v>600</v>
      </c>
      <c r="AF9" s="96">
        <v>1360</v>
      </c>
      <c r="AG9" s="105">
        <v>0</v>
      </c>
      <c r="AH9" s="231">
        <f>+Janvier!AJ9</f>
        <v>611.82692307692309</v>
      </c>
      <c r="AI9" s="231">
        <f>+Janvier!AK9</f>
        <v>1903.4615384615386</v>
      </c>
      <c r="AJ9" s="231">
        <f>+Janvier!AL9</f>
        <v>1427.5961538461543</v>
      </c>
      <c r="AK9" s="231">
        <f>+Janvier!AM9</f>
        <v>1427.5961538461543</v>
      </c>
      <c r="AL9" s="231">
        <f>+Janvier!AN9</f>
        <v>865.20979020979041</v>
      </c>
      <c r="AM9" s="231">
        <f>+Janvier!AO9</f>
        <v>535.34855769230762</v>
      </c>
      <c r="AN9" s="231">
        <f>+Janvier!AP9</f>
        <v>1070.6971153846152</v>
      </c>
      <c r="AO9" s="231">
        <f>+Janvier!AQ9</f>
        <v>535.34855769230762</v>
      </c>
      <c r="AP9" s="231">
        <f>+Janvier!AR9</f>
        <v>535.34855769230762</v>
      </c>
      <c r="AQ9" s="231">
        <f>+Janvier!AS9</f>
        <v>951.73076923076928</v>
      </c>
      <c r="AR9" s="19">
        <f t="shared" si="1"/>
        <v>7</v>
      </c>
      <c r="AS9" s="19">
        <f t="shared" si="3"/>
        <v>6</v>
      </c>
      <c r="AT9" s="19">
        <f t="shared" si="4"/>
        <v>6</v>
      </c>
      <c r="AU9" s="19">
        <f t="shared" si="5"/>
        <v>6</v>
      </c>
      <c r="AV9" s="19">
        <f t="shared" si="6"/>
        <v>6</v>
      </c>
      <c r="AW9" s="19">
        <f t="shared" si="7"/>
        <v>5</v>
      </c>
      <c r="AX9" s="19">
        <f t="shared" si="8"/>
        <v>6</v>
      </c>
      <c r="AY9" s="19">
        <f t="shared" si="9"/>
        <v>6</v>
      </c>
      <c r="AZ9" s="19">
        <f t="shared" si="10"/>
        <v>6</v>
      </c>
      <c r="BA9" s="20">
        <f t="shared" si="2"/>
        <v>7</v>
      </c>
    </row>
    <row r="10" spans="1:53" x14ac:dyDescent="0.3">
      <c r="A10" s="184" t="s">
        <v>34</v>
      </c>
      <c r="B10" s="94">
        <v>43952</v>
      </c>
      <c r="C10" s="233">
        <v>43982</v>
      </c>
      <c r="D10" s="107">
        <v>0</v>
      </c>
      <c r="E10" s="96">
        <v>0</v>
      </c>
      <c r="F10" s="97">
        <v>20</v>
      </c>
      <c r="G10" s="237">
        <v>400</v>
      </c>
      <c r="H10" s="96">
        <v>620</v>
      </c>
      <c r="I10" s="105">
        <v>0</v>
      </c>
      <c r="J10" s="95">
        <v>200</v>
      </c>
      <c r="K10" s="96">
        <v>300</v>
      </c>
      <c r="L10" s="97">
        <v>0</v>
      </c>
      <c r="M10" s="95">
        <v>200</v>
      </c>
      <c r="N10" s="96">
        <v>240</v>
      </c>
      <c r="O10" s="97">
        <v>0</v>
      </c>
      <c r="P10" s="95">
        <v>105</v>
      </c>
      <c r="Q10" s="96">
        <v>240</v>
      </c>
      <c r="R10" s="97">
        <v>0</v>
      </c>
      <c r="S10" s="95">
        <v>100</v>
      </c>
      <c r="T10" s="96">
        <v>370</v>
      </c>
      <c r="U10" s="97">
        <v>0</v>
      </c>
      <c r="V10" s="95">
        <v>200</v>
      </c>
      <c r="W10" s="96">
        <v>240</v>
      </c>
      <c r="X10" s="97">
        <v>0</v>
      </c>
      <c r="Y10" s="95">
        <v>100</v>
      </c>
      <c r="Z10" s="96">
        <v>130</v>
      </c>
      <c r="AA10" s="97">
        <v>0</v>
      </c>
      <c r="AB10" s="95">
        <v>200</v>
      </c>
      <c r="AC10" s="96">
        <v>220</v>
      </c>
      <c r="AD10" s="97">
        <v>0</v>
      </c>
      <c r="AE10" s="95">
        <v>100</v>
      </c>
      <c r="AF10" s="96">
        <v>310</v>
      </c>
      <c r="AG10" s="105">
        <v>0</v>
      </c>
      <c r="AH10" s="231">
        <f>+Janvier!AJ10</f>
        <v>104.46428571428572</v>
      </c>
      <c r="AI10" s="231">
        <f>+Janvier!AK10</f>
        <v>325</v>
      </c>
      <c r="AJ10" s="231">
        <f>+Janvier!AL10</f>
        <v>243.75</v>
      </c>
      <c r="AK10" s="231">
        <f>+Janvier!AM10</f>
        <v>243.75</v>
      </c>
      <c r="AL10" s="231">
        <f>+Janvier!AN10</f>
        <v>147.72727272727275</v>
      </c>
      <c r="AM10" s="231">
        <f>+Janvier!AO10</f>
        <v>91.40625</v>
      </c>
      <c r="AN10" s="231">
        <f>+Janvier!AP10</f>
        <v>182.8125</v>
      </c>
      <c r="AO10" s="231">
        <f>+Janvier!AQ10</f>
        <v>91.40625</v>
      </c>
      <c r="AP10" s="231">
        <f>+Janvier!AR10</f>
        <v>91.40625</v>
      </c>
      <c r="AQ10" s="231">
        <f>+Janvier!AS10</f>
        <v>162.5</v>
      </c>
      <c r="AR10" s="19">
        <f t="shared" si="1"/>
        <v>0</v>
      </c>
      <c r="AS10" s="19">
        <f t="shared" si="3"/>
        <v>10</v>
      </c>
      <c r="AT10" s="19">
        <f t="shared" si="4"/>
        <v>6</v>
      </c>
      <c r="AU10" s="19">
        <f t="shared" si="5"/>
        <v>5</v>
      </c>
      <c r="AV10" s="19">
        <f t="shared" si="6"/>
        <v>8</v>
      </c>
      <c r="AW10" s="19">
        <f t="shared" si="7"/>
        <v>20</v>
      </c>
      <c r="AX10" s="19">
        <f t="shared" si="8"/>
        <v>7</v>
      </c>
      <c r="AY10" s="19">
        <f t="shared" si="9"/>
        <v>7</v>
      </c>
      <c r="AZ10" s="19">
        <f t="shared" si="10"/>
        <v>12</v>
      </c>
      <c r="BA10" s="20">
        <f t="shared" si="2"/>
        <v>10</v>
      </c>
    </row>
    <row r="11" spans="1:53" x14ac:dyDescent="0.3">
      <c r="A11" s="184" t="s">
        <v>103</v>
      </c>
      <c r="B11" s="94">
        <v>43952</v>
      </c>
      <c r="C11" s="233">
        <v>43982</v>
      </c>
      <c r="D11" s="107">
        <v>120</v>
      </c>
      <c r="E11" s="96">
        <v>280</v>
      </c>
      <c r="F11" s="97">
        <v>0</v>
      </c>
      <c r="G11" s="237">
        <v>180</v>
      </c>
      <c r="H11" s="96">
        <v>420</v>
      </c>
      <c r="I11" s="105">
        <v>0</v>
      </c>
      <c r="J11" s="95">
        <v>190</v>
      </c>
      <c r="K11" s="96">
        <v>330</v>
      </c>
      <c r="L11" s="97">
        <v>0</v>
      </c>
      <c r="M11" s="95">
        <v>180</v>
      </c>
      <c r="N11" s="96">
        <v>352</v>
      </c>
      <c r="O11" s="97">
        <v>0</v>
      </c>
      <c r="P11" s="95">
        <v>180</v>
      </c>
      <c r="Q11" s="96">
        <v>219</v>
      </c>
      <c r="R11" s="97">
        <v>0</v>
      </c>
      <c r="S11" s="95">
        <v>90</v>
      </c>
      <c r="T11" s="96">
        <v>70</v>
      </c>
      <c r="U11" s="97">
        <v>0</v>
      </c>
      <c r="V11" s="95">
        <v>150</v>
      </c>
      <c r="W11" s="96">
        <v>300</v>
      </c>
      <c r="X11" s="97">
        <v>0</v>
      </c>
      <c r="Y11" s="95">
        <v>120</v>
      </c>
      <c r="Z11" s="96">
        <v>150</v>
      </c>
      <c r="AA11" s="97">
        <v>0</v>
      </c>
      <c r="AB11" s="95">
        <v>100</v>
      </c>
      <c r="AC11" s="96">
        <v>140</v>
      </c>
      <c r="AD11" s="97">
        <v>0</v>
      </c>
      <c r="AE11" s="95">
        <v>370</v>
      </c>
      <c r="AF11" s="96">
        <v>330</v>
      </c>
      <c r="AG11" s="105">
        <v>0</v>
      </c>
      <c r="AH11" s="231">
        <f>+Janvier!AJ11</f>
        <v>190.75549450549454</v>
      </c>
      <c r="AI11" s="231">
        <f>+Janvier!AK11</f>
        <v>593.46153846153857</v>
      </c>
      <c r="AJ11" s="231">
        <f>+Janvier!AL11</f>
        <v>445.09615384615392</v>
      </c>
      <c r="AK11" s="231">
        <f>+Janvier!AM11</f>
        <v>445.09615384615392</v>
      </c>
      <c r="AL11" s="231">
        <f>+Janvier!AN11</f>
        <v>269.7552447552448</v>
      </c>
      <c r="AM11" s="231">
        <f>+Janvier!AO11</f>
        <v>166.91105769230771</v>
      </c>
      <c r="AN11" s="231">
        <f>+Janvier!AP11</f>
        <v>333.82211538461542</v>
      </c>
      <c r="AO11" s="231">
        <f>+Janvier!AQ11</f>
        <v>166.91105769230771</v>
      </c>
      <c r="AP11" s="231">
        <f>+Janvier!AR11</f>
        <v>166.91105769230771</v>
      </c>
      <c r="AQ11" s="231">
        <f>+Janvier!AS11</f>
        <v>296.73076923076928</v>
      </c>
      <c r="AR11" s="19">
        <f t="shared" si="1"/>
        <v>7</v>
      </c>
      <c r="AS11" s="19">
        <f t="shared" si="3"/>
        <v>4</v>
      </c>
      <c r="AT11" s="19">
        <f t="shared" si="4"/>
        <v>4</v>
      </c>
      <c r="AU11" s="19">
        <f t="shared" si="5"/>
        <v>4</v>
      </c>
      <c r="AV11" s="19">
        <f t="shared" si="6"/>
        <v>4</v>
      </c>
      <c r="AW11" s="19">
        <f t="shared" si="7"/>
        <v>2</v>
      </c>
      <c r="AX11" s="19">
        <f t="shared" si="8"/>
        <v>4</v>
      </c>
      <c r="AY11" s="19">
        <f t="shared" si="9"/>
        <v>4</v>
      </c>
      <c r="AZ11" s="19">
        <f t="shared" si="10"/>
        <v>4</v>
      </c>
      <c r="BA11" s="20">
        <f t="shared" si="2"/>
        <v>6</v>
      </c>
    </row>
    <row r="12" spans="1:53" x14ac:dyDescent="0.3">
      <c r="A12" s="184" t="s">
        <v>104</v>
      </c>
      <c r="B12" s="94">
        <v>43952</v>
      </c>
      <c r="C12" s="233">
        <v>43982</v>
      </c>
      <c r="D12" s="107">
        <v>460</v>
      </c>
      <c r="E12" s="106">
        <v>220</v>
      </c>
      <c r="F12" s="117">
        <v>0</v>
      </c>
      <c r="G12" s="236">
        <v>900</v>
      </c>
      <c r="H12" s="96">
        <v>300</v>
      </c>
      <c r="I12" s="105">
        <v>0</v>
      </c>
      <c r="J12" s="95">
        <v>780</v>
      </c>
      <c r="K12" s="96">
        <v>260</v>
      </c>
      <c r="L12" s="97">
        <v>0</v>
      </c>
      <c r="M12" s="95">
        <v>760</v>
      </c>
      <c r="N12" s="96">
        <v>316</v>
      </c>
      <c r="O12" s="97">
        <v>0</v>
      </c>
      <c r="P12" s="95">
        <v>418</v>
      </c>
      <c r="Q12" s="96">
        <v>229</v>
      </c>
      <c r="R12" s="97">
        <v>0</v>
      </c>
      <c r="S12" s="95">
        <v>210</v>
      </c>
      <c r="T12" s="96">
        <v>30</v>
      </c>
      <c r="U12" s="97">
        <v>0</v>
      </c>
      <c r="V12" s="95">
        <v>250</v>
      </c>
      <c r="W12" s="96">
        <v>300</v>
      </c>
      <c r="X12" s="97">
        <v>0</v>
      </c>
      <c r="Y12" s="95">
        <v>240</v>
      </c>
      <c r="Z12" s="96">
        <v>100</v>
      </c>
      <c r="AA12" s="97">
        <v>0</v>
      </c>
      <c r="AB12" s="95">
        <v>240</v>
      </c>
      <c r="AC12" s="96">
        <v>110</v>
      </c>
      <c r="AD12" s="97">
        <v>0</v>
      </c>
      <c r="AE12" s="95">
        <v>500</v>
      </c>
      <c r="AF12" s="96">
        <v>200</v>
      </c>
      <c r="AG12" s="105">
        <v>0</v>
      </c>
      <c r="AH12" s="231">
        <f>+Janvier!AJ12</f>
        <v>302.3901098901099</v>
      </c>
      <c r="AI12" s="231">
        <f>+Janvier!AK12</f>
        <v>940.76923076923083</v>
      </c>
      <c r="AJ12" s="231">
        <f>+Janvier!AL12</f>
        <v>705.57692307692321</v>
      </c>
      <c r="AK12" s="231">
        <f>+Janvier!AM12</f>
        <v>705.57692307692321</v>
      </c>
      <c r="AL12" s="231">
        <f>+Janvier!AN12</f>
        <v>427.62237762237766</v>
      </c>
      <c r="AM12" s="231">
        <f>+Janvier!AO12</f>
        <v>264.59134615384619</v>
      </c>
      <c r="AN12" s="231">
        <f>+Janvier!AP12</f>
        <v>529.18269230769238</v>
      </c>
      <c r="AO12" s="231">
        <f>+Janvier!AQ12</f>
        <v>264.59134615384619</v>
      </c>
      <c r="AP12" s="231">
        <f>+Janvier!AR12</f>
        <v>264.59134615384619</v>
      </c>
      <c r="AQ12" s="231">
        <f>+Janvier!AS12</f>
        <v>470.38461538461542</v>
      </c>
      <c r="AR12" s="19">
        <f t="shared" si="1"/>
        <v>4</v>
      </c>
      <c r="AS12" s="19">
        <f t="shared" si="3"/>
        <v>2</v>
      </c>
      <c r="AT12" s="19">
        <f t="shared" si="4"/>
        <v>2</v>
      </c>
      <c r="AU12" s="19">
        <f t="shared" si="5"/>
        <v>2</v>
      </c>
      <c r="AV12" s="19">
        <f t="shared" si="6"/>
        <v>3</v>
      </c>
      <c r="AW12" s="19">
        <f t="shared" si="7"/>
        <v>1</v>
      </c>
      <c r="AX12" s="19">
        <f t="shared" si="8"/>
        <v>3</v>
      </c>
      <c r="AY12" s="19">
        <f t="shared" si="9"/>
        <v>2</v>
      </c>
      <c r="AZ12" s="19">
        <f t="shared" si="10"/>
        <v>2</v>
      </c>
      <c r="BA12" s="20">
        <f t="shared" si="2"/>
        <v>2</v>
      </c>
    </row>
    <row r="13" spans="1:53" ht="15" thickBot="1" x14ac:dyDescent="0.35">
      <c r="A13" s="121" t="s">
        <v>105</v>
      </c>
      <c r="B13" s="143">
        <v>43952</v>
      </c>
      <c r="C13" s="234">
        <v>43982</v>
      </c>
      <c r="D13" s="249">
        <v>1080</v>
      </c>
      <c r="E13" s="250">
        <v>200</v>
      </c>
      <c r="F13" s="251">
        <v>0</v>
      </c>
      <c r="G13" s="238">
        <v>900</v>
      </c>
      <c r="H13" s="109">
        <v>1440</v>
      </c>
      <c r="I13" s="112">
        <v>0</v>
      </c>
      <c r="J13" s="111">
        <v>730</v>
      </c>
      <c r="K13" s="109">
        <v>960</v>
      </c>
      <c r="L13" s="110">
        <v>0</v>
      </c>
      <c r="M13" s="111">
        <v>740</v>
      </c>
      <c r="N13" s="109">
        <v>816</v>
      </c>
      <c r="O13" s="110">
        <v>0</v>
      </c>
      <c r="P13" s="111">
        <v>400</v>
      </c>
      <c r="Q13" s="109">
        <v>681</v>
      </c>
      <c r="R13" s="110">
        <v>0</v>
      </c>
      <c r="S13" s="111">
        <v>260</v>
      </c>
      <c r="T13" s="109">
        <v>220</v>
      </c>
      <c r="U13" s="110">
        <v>0</v>
      </c>
      <c r="V13" s="111">
        <v>0</v>
      </c>
      <c r="W13" s="109">
        <v>650</v>
      </c>
      <c r="X13" s="110">
        <v>0</v>
      </c>
      <c r="Y13" s="111">
        <v>430</v>
      </c>
      <c r="Z13" s="109">
        <v>500</v>
      </c>
      <c r="AA13" s="110">
        <v>0</v>
      </c>
      <c r="AB13" s="111">
        <v>360</v>
      </c>
      <c r="AC13" s="109">
        <v>300</v>
      </c>
      <c r="AD13" s="110">
        <v>0</v>
      </c>
      <c r="AE13" s="111">
        <v>180</v>
      </c>
      <c r="AF13" s="109">
        <v>1440</v>
      </c>
      <c r="AG13" s="112">
        <v>0</v>
      </c>
      <c r="AH13" s="231">
        <f>+Janvier!AJ13</f>
        <v>749.42307692307691</v>
      </c>
      <c r="AI13" s="231">
        <f>+Janvier!AK13</f>
        <v>2331.5384615384619</v>
      </c>
      <c r="AJ13" s="231">
        <f>+Janvier!AL13</f>
        <v>1748.6538461538464</v>
      </c>
      <c r="AK13" s="231">
        <f>+Janvier!AM13</f>
        <v>1748.6538461538464</v>
      </c>
      <c r="AL13" s="231">
        <f>+Janvier!AN13</f>
        <v>1059.7902097902099</v>
      </c>
      <c r="AM13" s="231">
        <f>+Janvier!AO13</f>
        <v>655.74519230769226</v>
      </c>
      <c r="AN13" s="231">
        <f>+Janvier!AP13</f>
        <v>1311.4903846153845</v>
      </c>
      <c r="AO13" s="231">
        <f>+Janvier!AQ13</f>
        <v>655.74519230769226</v>
      </c>
      <c r="AP13" s="231">
        <f>+Janvier!AR13</f>
        <v>655.74519230769226</v>
      </c>
      <c r="AQ13" s="231">
        <f>+Janvier!AS13</f>
        <v>1165.7692307692309</v>
      </c>
      <c r="AR13" s="29">
        <f t="shared" si="1"/>
        <v>1</v>
      </c>
      <c r="AS13" s="29">
        <f t="shared" si="3"/>
        <v>3</v>
      </c>
      <c r="AT13" s="29">
        <f t="shared" si="4"/>
        <v>3</v>
      </c>
      <c r="AU13" s="29">
        <f t="shared" si="5"/>
        <v>2</v>
      </c>
      <c r="AV13" s="29">
        <f t="shared" si="6"/>
        <v>3</v>
      </c>
      <c r="AW13" s="29">
        <f t="shared" si="7"/>
        <v>2</v>
      </c>
      <c r="AX13" s="29">
        <f t="shared" si="8"/>
        <v>2</v>
      </c>
      <c r="AY13" s="29">
        <f t="shared" si="9"/>
        <v>4</v>
      </c>
      <c r="AZ13" s="29">
        <f t="shared" si="10"/>
        <v>2</v>
      </c>
      <c r="BA13" s="30">
        <f t="shared" si="2"/>
        <v>6</v>
      </c>
    </row>
    <row r="14" spans="1:53" x14ac:dyDescent="0.3">
      <c r="A14" s="140" t="s">
        <v>85</v>
      </c>
      <c r="B14" s="152">
        <v>43952</v>
      </c>
      <c r="C14" s="242">
        <v>43984</v>
      </c>
      <c r="D14" s="155">
        <v>13000</v>
      </c>
      <c r="E14" s="154">
        <v>9340</v>
      </c>
      <c r="F14" s="165">
        <v>0</v>
      </c>
      <c r="G14" s="245">
        <v>23500</v>
      </c>
      <c r="H14" s="167">
        <v>23040</v>
      </c>
      <c r="I14" s="168">
        <v>0</v>
      </c>
      <c r="J14" s="155">
        <v>27500</v>
      </c>
      <c r="K14" s="154">
        <v>20700</v>
      </c>
      <c r="L14" s="153">
        <v>0</v>
      </c>
      <c r="M14" s="155">
        <v>22600</v>
      </c>
      <c r="N14" s="154">
        <v>21456</v>
      </c>
      <c r="O14" s="153">
        <v>0</v>
      </c>
      <c r="P14" s="155">
        <v>16100</v>
      </c>
      <c r="Q14" s="154">
        <v>13516</v>
      </c>
      <c r="R14" s="153">
        <v>0</v>
      </c>
      <c r="S14" s="155">
        <v>9400</v>
      </c>
      <c r="T14" s="154">
        <v>7500</v>
      </c>
      <c r="U14" s="153">
        <v>0</v>
      </c>
      <c r="V14" s="155">
        <v>22000</v>
      </c>
      <c r="W14" s="154">
        <v>21430</v>
      </c>
      <c r="X14" s="153">
        <v>0</v>
      </c>
      <c r="Y14" s="155">
        <v>11100</v>
      </c>
      <c r="Z14" s="154">
        <v>8390</v>
      </c>
      <c r="AA14" s="153">
        <v>0</v>
      </c>
      <c r="AB14" s="155">
        <v>11100</v>
      </c>
      <c r="AC14" s="154">
        <v>7850</v>
      </c>
      <c r="AD14" s="153">
        <v>0</v>
      </c>
      <c r="AE14" s="155">
        <v>13100</v>
      </c>
      <c r="AF14" s="154">
        <v>14560</v>
      </c>
      <c r="AG14" s="223">
        <v>0</v>
      </c>
      <c r="AH14" s="231">
        <f>+Janvier!AJ14</f>
        <v>10845.32625</v>
      </c>
      <c r="AI14" s="231">
        <f>+Janvier!AK14</f>
        <v>37883.076923076922</v>
      </c>
      <c r="AJ14" s="231">
        <f>+Janvier!AL14</f>
        <v>25230.129230769231</v>
      </c>
      <c r="AK14" s="231">
        <f>+Janvier!AM14</f>
        <v>25230.129230769231</v>
      </c>
      <c r="AL14" s="231">
        <f>+Janvier!AN14</f>
        <v>15910.892307692309</v>
      </c>
      <c r="AM14" s="231">
        <f>+Janvier!AO14</f>
        <v>9470.7692307692305</v>
      </c>
      <c r="AN14" s="231">
        <f>+Janvier!AP14</f>
        <v>18941.538461538461</v>
      </c>
      <c r="AO14" s="231">
        <f>+Janvier!AQ14</f>
        <v>9470.7692307692305</v>
      </c>
      <c r="AP14" s="231">
        <f>+Janvier!AR14</f>
        <v>9470.7692307692305</v>
      </c>
      <c r="AQ14" s="231">
        <f>+Janvier!AS14</f>
        <v>16836.800192307695</v>
      </c>
      <c r="AR14" s="16">
        <f>ROUND(E14/(AH14/15),0)</f>
        <v>13</v>
      </c>
      <c r="AS14" s="16">
        <f t="shared" ref="AS14" si="11">ROUND(H14/(AI14/15),0)</f>
        <v>9</v>
      </c>
      <c r="AT14" s="16">
        <f t="shared" ref="AT14" si="12">ROUND(K14/(AJ14/15),0)</f>
        <v>12</v>
      </c>
      <c r="AU14" s="16">
        <f t="shared" ref="AU14" si="13">ROUND(N14/(AK14/15),0)</f>
        <v>13</v>
      </c>
      <c r="AV14" s="16">
        <f t="shared" ref="AV14" si="14">ROUND(Q14/(AL14/15),0)</f>
        <v>13</v>
      </c>
      <c r="AW14" s="16">
        <f t="shared" ref="AW14" si="15">ROUND(T14/(AM14/15),0)</f>
        <v>12</v>
      </c>
      <c r="AX14" s="16">
        <f t="shared" ref="AX14" si="16">ROUND(W14/(AN14/15),0)</f>
        <v>17</v>
      </c>
      <c r="AY14" s="16">
        <f t="shared" ref="AY14" si="17">ROUND(Z14/(AO14/15),0)</f>
        <v>13</v>
      </c>
      <c r="AZ14" s="16">
        <f t="shared" ref="AZ14" si="18">ROUND(AC14/(AP14/15),0)</f>
        <v>12</v>
      </c>
      <c r="BA14" s="17">
        <f t="shared" ref="BA14" si="19">ROUND(AF14/(AQ14/15),0)</f>
        <v>13</v>
      </c>
    </row>
    <row r="15" spans="1:53" x14ac:dyDescent="0.3">
      <c r="A15" s="184" t="s">
        <v>57</v>
      </c>
      <c r="B15" s="127">
        <v>43952</v>
      </c>
      <c r="C15" s="243">
        <v>43984</v>
      </c>
      <c r="D15" s="130">
        <v>520</v>
      </c>
      <c r="E15" s="129">
        <v>80</v>
      </c>
      <c r="F15" s="169">
        <v>0</v>
      </c>
      <c r="G15" s="246">
        <v>1300</v>
      </c>
      <c r="H15" s="171">
        <v>200</v>
      </c>
      <c r="I15" s="172">
        <v>0</v>
      </c>
      <c r="J15" s="130">
        <v>900</v>
      </c>
      <c r="K15" s="129">
        <v>260</v>
      </c>
      <c r="L15" s="128">
        <v>0</v>
      </c>
      <c r="M15" s="130">
        <v>1080</v>
      </c>
      <c r="N15" s="129">
        <v>460</v>
      </c>
      <c r="O15" s="128">
        <v>0</v>
      </c>
      <c r="P15" s="130">
        <v>525</v>
      </c>
      <c r="Q15" s="129">
        <v>0</v>
      </c>
      <c r="R15" s="128">
        <v>0</v>
      </c>
      <c r="S15" s="130">
        <v>220</v>
      </c>
      <c r="T15" s="129">
        <v>0</v>
      </c>
      <c r="U15" s="128">
        <v>0</v>
      </c>
      <c r="V15" s="130">
        <v>600</v>
      </c>
      <c r="W15" s="129">
        <v>310</v>
      </c>
      <c r="X15" s="128">
        <v>0</v>
      </c>
      <c r="Y15" s="130">
        <v>220</v>
      </c>
      <c r="Z15" s="129">
        <v>40</v>
      </c>
      <c r="AA15" s="128">
        <v>0</v>
      </c>
      <c r="AB15" s="130">
        <v>400</v>
      </c>
      <c r="AC15" s="129">
        <v>60</v>
      </c>
      <c r="AD15" s="128">
        <v>0</v>
      </c>
      <c r="AE15" s="130">
        <v>570</v>
      </c>
      <c r="AF15" s="129">
        <v>140</v>
      </c>
      <c r="AG15" s="224">
        <v>0</v>
      </c>
      <c r="AH15" s="231">
        <f>+Janvier!AJ15</f>
        <v>567.93956043956052</v>
      </c>
      <c r="AI15" s="231">
        <f>+Janvier!AK15</f>
        <v>1766.9230769230774</v>
      </c>
      <c r="AJ15" s="231">
        <f>+Janvier!AL15</f>
        <v>1325.1923076923076</v>
      </c>
      <c r="AK15" s="231">
        <f>+Janvier!AM15</f>
        <v>1325.1923076923076</v>
      </c>
      <c r="AL15" s="231">
        <f>+Janvier!AN15</f>
        <v>803.14685314685323</v>
      </c>
      <c r="AM15" s="231">
        <f>+Janvier!AO15</f>
        <v>496.94711538461542</v>
      </c>
      <c r="AN15" s="231">
        <f>+Janvier!AP15</f>
        <v>993.89423076923083</v>
      </c>
      <c r="AO15" s="231">
        <f>+Janvier!AQ15</f>
        <v>496.94711538461542</v>
      </c>
      <c r="AP15" s="231">
        <f>+Janvier!AR15</f>
        <v>496.94711538461542</v>
      </c>
      <c r="AQ15" s="231">
        <f>+Janvier!AS15</f>
        <v>883.46153846153868</v>
      </c>
      <c r="AR15" s="16">
        <f t="shared" ref="AR15:AR20" si="20">ROUND(E15/(AH15/5),0)</f>
        <v>1</v>
      </c>
      <c r="AS15" s="16">
        <f t="shared" ref="AS15:AS20" si="21">ROUND(H15/(AI15/5),0)</f>
        <v>1</v>
      </c>
      <c r="AT15" s="16">
        <f t="shared" ref="AT15:AT20" si="22">ROUND(K15/(AJ15/5),0)</f>
        <v>1</v>
      </c>
      <c r="AU15" s="16">
        <f t="shared" ref="AU15:AU20" si="23">ROUND(N15/(AK15/5),0)</f>
        <v>2</v>
      </c>
      <c r="AV15" s="16">
        <f t="shared" ref="AV15:AV20" si="24">ROUND(Q15/(AL15/5),0)</f>
        <v>0</v>
      </c>
      <c r="AW15" s="16">
        <f t="shared" ref="AW15:AW20" si="25">ROUND(T15/(AM15/5),0)</f>
        <v>0</v>
      </c>
      <c r="AX15" s="16">
        <f t="shared" ref="AX15:AX20" si="26">ROUND(W15/(AN15/5),0)</f>
        <v>2</v>
      </c>
      <c r="AY15" s="16">
        <f t="shared" ref="AY15:AY20" si="27">ROUND(Z15/(AO15/5),0)</f>
        <v>0</v>
      </c>
      <c r="AZ15" s="16">
        <f t="shared" ref="AZ15:AZ20" si="28">ROUND(AC15/(AP15/5),0)</f>
        <v>1</v>
      </c>
      <c r="BA15" s="17">
        <f t="shared" ref="BA15:BA20" si="29">ROUND(AF15/(AQ15/5),0)</f>
        <v>1</v>
      </c>
    </row>
    <row r="16" spans="1:53" x14ac:dyDescent="0.3">
      <c r="A16" s="184" t="s">
        <v>58</v>
      </c>
      <c r="B16" s="127">
        <v>43952</v>
      </c>
      <c r="C16" s="243">
        <v>43984</v>
      </c>
      <c r="D16" s="130">
        <v>2500</v>
      </c>
      <c r="E16" s="129">
        <v>1380</v>
      </c>
      <c r="F16" s="169">
        <v>0</v>
      </c>
      <c r="G16" s="246">
        <v>8120</v>
      </c>
      <c r="H16" s="171">
        <v>5060</v>
      </c>
      <c r="I16" s="172">
        <v>0</v>
      </c>
      <c r="J16" s="130">
        <v>5540</v>
      </c>
      <c r="K16" s="129">
        <v>3310</v>
      </c>
      <c r="L16" s="131">
        <v>0</v>
      </c>
      <c r="M16" s="130">
        <v>5596</v>
      </c>
      <c r="N16" s="129">
        <v>3168</v>
      </c>
      <c r="O16" s="128">
        <v>0</v>
      </c>
      <c r="P16" s="130">
        <v>4132</v>
      </c>
      <c r="Q16" s="129">
        <v>2601</v>
      </c>
      <c r="R16" s="128">
        <v>0</v>
      </c>
      <c r="S16" s="130">
        <v>2190</v>
      </c>
      <c r="T16" s="129">
        <v>1310</v>
      </c>
      <c r="U16" s="128">
        <v>0</v>
      </c>
      <c r="V16" s="130">
        <v>2660</v>
      </c>
      <c r="W16" s="129">
        <v>1690</v>
      </c>
      <c r="X16" s="128">
        <v>0</v>
      </c>
      <c r="Y16" s="130">
        <v>2190</v>
      </c>
      <c r="Z16" s="129">
        <v>1310</v>
      </c>
      <c r="AA16" s="128">
        <v>0</v>
      </c>
      <c r="AB16" s="130">
        <v>2290</v>
      </c>
      <c r="AC16" s="129">
        <v>1310</v>
      </c>
      <c r="AD16" s="128">
        <v>0</v>
      </c>
      <c r="AE16" s="130">
        <v>4340</v>
      </c>
      <c r="AF16" s="129">
        <v>2610</v>
      </c>
      <c r="AG16" s="224">
        <v>0</v>
      </c>
      <c r="AH16" s="231">
        <f>+Janvier!AJ16</f>
        <v>952.54120879120887</v>
      </c>
      <c r="AI16" s="231">
        <f>+Janvier!AK16</f>
        <v>2963.4615384615386</v>
      </c>
      <c r="AJ16" s="231">
        <f>+Janvier!AL16</f>
        <v>2222.5961538461538</v>
      </c>
      <c r="AK16" s="231">
        <f>+Janvier!AM16</f>
        <v>2222.5961538461538</v>
      </c>
      <c r="AL16" s="231">
        <f>+Janvier!AN16</f>
        <v>1347.0279720279721</v>
      </c>
      <c r="AM16" s="231">
        <f>+Janvier!AO16</f>
        <v>833.47355769230774</v>
      </c>
      <c r="AN16" s="231">
        <f>+Janvier!AP16</f>
        <v>1666.9471153846155</v>
      </c>
      <c r="AO16" s="231">
        <f>+Janvier!AQ16</f>
        <v>833.47355769230774</v>
      </c>
      <c r="AP16" s="231">
        <f>+Janvier!AR16</f>
        <v>833.47355769230774</v>
      </c>
      <c r="AQ16" s="231">
        <f>+Janvier!AS16</f>
        <v>1481.7307692307693</v>
      </c>
      <c r="AR16" s="16">
        <f t="shared" si="20"/>
        <v>7</v>
      </c>
      <c r="AS16" s="16">
        <f t="shared" si="21"/>
        <v>9</v>
      </c>
      <c r="AT16" s="16">
        <f t="shared" si="22"/>
        <v>7</v>
      </c>
      <c r="AU16" s="16">
        <f t="shared" si="23"/>
        <v>7</v>
      </c>
      <c r="AV16" s="16">
        <f t="shared" si="24"/>
        <v>10</v>
      </c>
      <c r="AW16" s="16">
        <f t="shared" si="25"/>
        <v>8</v>
      </c>
      <c r="AX16" s="16">
        <f t="shared" si="26"/>
        <v>5</v>
      </c>
      <c r="AY16" s="16">
        <f t="shared" si="27"/>
        <v>8</v>
      </c>
      <c r="AZ16" s="16">
        <f t="shared" si="28"/>
        <v>8</v>
      </c>
      <c r="BA16" s="17">
        <f t="shared" si="29"/>
        <v>9</v>
      </c>
    </row>
    <row r="17" spans="1:53" x14ac:dyDescent="0.3">
      <c r="A17" s="184" t="s">
        <v>59</v>
      </c>
      <c r="B17" s="127">
        <v>43952</v>
      </c>
      <c r="C17" s="243">
        <v>43984</v>
      </c>
      <c r="D17" s="130">
        <v>1560</v>
      </c>
      <c r="E17" s="129">
        <v>920</v>
      </c>
      <c r="F17" s="169">
        <v>0</v>
      </c>
      <c r="G17" s="246">
        <v>3260</v>
      </c>
      <c r="H17" s="171">
        <v>2220</v>
      </c>
      <c r="I17" s="172">
        <v>0</v>
      </c>
      <c r="J17" s="130">
        <v>1430</v>
      </c>
      <c r="K17" s="129">
        <v>260</v>
      </c>
      <c r="L17" s="128">
        <v>0</v>
      </c>
      <c r="M17" s="130">
        <v>2600</v>
      </c>
      <c r="N17" s="129">
        <v>1680</v>
      </c>
      <c r="O17" s="128">
        <v>0</v>
      </c>
      <c r="P17" s="130">
        <v>1860</v>
      </c>
      <c r="Q17" s="129">
        <v>1150</v>
      </c>
      <c r="R17" s="128">
        <v>0</v>
      </c>
      <c r="S17" s="130">
        <v>880</v>
      </c>
      <c r="T17" s="129">
        <v>570</v>
      </c>
      <c r="U17" s="128">
        <v>0</v>
      </c>
      <c r="V17" s="130">
        <v>1370</v>
      </c>
      <c r="W17" s="129">
        <v>1320</v>
      </c>
      <c r="X17" s="128">
        <v>0</v>
      </c>
      <c r="Y17" s="130">
        <v>980</v>
      </c>
      <c r="Z17" s="129">
        <v>660</v>
      </c>
      <c r="AA17" s="128">
        <v>0</v>
      </c>
      <c r="AB17" s="130">
        <v>1020</v>
      </c>
      <c r="AC17" s="129">
        <v>660</v>
      </c>
      <c r="AD17" s="128">
        <v>0</v>
      </c>
      <c r="AE17" s="130">
        <v>1750</v>
      </c>
      <c r="AF17" s="129">
        <v>1360</v>
      </c>
      <c r="AG17" s="224">
        <v>0</v>
      </c>
      <c r="AH17" s="231">
        <f>+Janvier!AJ17</f>
        <v>506.86813186813191</v>
      </c>
      <c r="AI17" s="231">
        <f>+Janvier!AK17</f>
        <v>1576.9230769230767</v>
      </c>
      <c r="AJ17" s="231">
        <f>+Janvier!AL17</f>
        <v>1182.6923076923076</v>
      </c>
      <c r="AK17" s="231">
        <f>+Janvier!AM17</f>
        <v>1182.6923076923076</v>
      </c>
      <c r="AL17" s="231">
        <f>+Janvier!AN17</f>
        <v>716.78321678321686</v>
      </c>
      <c r="AM17" s="231">
        <f>+Janvier!AO17</f>
        <v>443.50961538461542</v>
      </c>
      <c r="AN17" s="231">
        <f>+Janvier!AP17</f>
        <v>887.01923076923083</v>
      </c>
      <c r="AO17" s="231">
        <f>+Janvier!AQ17</f>
        <v>443.50961538461542</v>
      </c>
      <c r="AP17" s="231">
        <f>+Janvier!AR17</f>
        <v>443.50961538461542</v>
      </c>
      <c r="AQ17" s="231">
        <f>+Janvier!AS17</f>
        <v>788.46153846153834</v>
      </c>
      <c r="AR17" s="16">
        <f t="shared" si="20"/>
        <v>9</v>
      </c>
      <c r="AS17" s="16">
        <f t="shared" si="21"/>
        <v>7</v>
      </c>
      <c r="AT17" s="16">
        <f t="shared" si="22"/>
        <v>1</v>
      </c>
      <c r="AU17" s="16">
        <f t="shared" si="23"/>
        <v>7</v>
      </c>
      <c r="AV17" s="16">
        <f t="shared" si="24"/>
        <v>8</v>
      </c>
      <c r="AW17" s="16">
        <f t="shared" si="25"/>
        <v>6</v>
      </c>
      <c r="AX17" s="16">
        <f t="shared" si="26"/>
        <v>7</v>
      </c>
      <c r="AY17" s="16">
        <f t="shared" si="27"/>
        <v>7</v>
      </c>
      <c r="AZ17" s="16">
        <f t="shared" si="28"/>
        <v>7</v>
      </c>
      <c r="BA17" s="17">
        <f t="shared" si="29"/>
        <v>9</v>
      </c>
    </row>
    <row r="18" spans="1:53" x14ac:dyDescent="0.3">
      <c r="A18" s="184" t="s">
        <v>60</v>
      </c>
      <c r="B18" s="127">
        <v>43952</v>
      </c>
      <c r="C18" s="243">
        <v>43984</v>
      </c>
      <c r="D18" s="130">
        <v>740</v>
      </c>
      <c r="E18" s="129">
        <v>100</v>
      </c>
      <c r="F18" s="169">
        <v>0</v>
      </c>
      <c r="G18" s="246">
        <v>2760</v>
      </c>
      <c r="H18" s="171">
        <v>1480</v>
      </c>
      <c r="I18" s="172">
        <v>0</v>
      </c>
      <c r="J18" s="130">
        <v>3470</v>
      </c>
      <c r="K18" s="129">
        <v>2460</v>
      </c>
      <c r="L18" s="131">
        <v>0</v>
      </c>
      <c r="M18" s="130">
        <v>1668</v>
      </c>
      <c r="N18" s="129">
        <v>1240</v>
      </c>
      <c r="O18" s="131">
        <v>0</v>
      </c>
      <c r="P18" s="130">
        <v>999</v>
      </c>
      <c r="Q18" s="129">
        <v>649</v>
      </c>
      <c r="R18" s="128">
        <v>0</v>
      </c>
      <c r="S18" s="130">
        <v>560</v>
      </c>
      <c r="T18" s="129">
        <v>440</v>
      </c>
      <c r="U18" s="128">
        <v>0</v>
      </c>
      <c r="V18" s="130">
        <v>1190</v>
      </c>
      <c r="W18" s="129">
        <v>1030</v>
      </c>
      <c r="X18" s="128">
        <v>0</v>
      </c>
      <c r="Y18" s="130">
        <v>630</v>
      </c>
      <c r="Z18" s="129">
        <v>490</v>
      </c>
      <c r="AA18" s="128">
        <v>0</v>
      </c>
      <c r="AB18" s="130">
        <v>760</v>
      </c>
      <c r="AC18" s="129">
        <v>490</v>
      </c>
      <c r="AD18" s="128">
        <v>0</v>
      </c>
      <c r="AE18" s="130">
        <v>870</v>
      </c>
      <c r="AF18" s="129">
        <v>610</v>
      </c>
      <c r="AG18" s="224">
        <v>0</v>
      </c>
      <c r="AH18" s="231">
        <f>+Janvier!AJ18</f>
        <v>785.76923076923083</v>
      </c>
      <c r="AI18" s="231">
        <f>+Janvier!AK18</f>
        <v>2444.6153846153852</v>
      </c>
      <c r="AJ18" s="231">
        <f>+Janvier!AL18</f>
        <v>1833.4615384615383</v>
      </c>
      <c r="AK18" s="231">
        <f>+Janvier!AM18</f>
        <v>1833.4615384615383</v>
      </c>
      <c r="AL18" s="231">
        <f>+Janvier!AN18</f>
        <v>1111.1888111888113</v>
      </c>
      <c r="AM18" s="231">
        <f>+Janvier!AO18</f>
        <v>687.54807692307713</v>
      </c>
      <c r="AN18" s="231">
        <f>+Janvier!AP18</f>
        <v>1375.0961538461543</v>
      </c>
      <c r="AO18" s="231">
        <f>+Janvier!AQ18</f>
        <v>687.54807692307713</v>
      </c>
      <c r="AP18" s="231">
        <f>+Janvier!AR18</f>
        <v>687.54807692307713</v>
      </c>
      <c r="AQ18" s="231">
        <f>+Janvier!AS18</f>
        <v>1222.3076923076926</v>
      </c>
      <c r="AR18" s="16">
        <f t="shared" si="20"/>
        <v>1</v>
      </c>
      <c r="AS18" s="16">
        <f t="shared" si="21"/>
        <v>3</v>
      </c>
      <c r="AT18" s="16">
        <f t="shared" si="22"/>
        <v>7</v>
      </c>
      <c r="AU18" s="16">
        <f t="shared" si="23"/>
        <v>3</v>
      </c>
      <c r="AV18" s="16">
        <f t="shared" si="24"/>
        <v>3</v>
      </c>
      <c r="AW18" s="16">
        <f t="shared" si="25"/>
        <v>3</v>
      </c>
      <c r="AX18" s="16">
        <f t="shared" si="26"/>
        <v>4</v>
      </c>
      <c r="AY18" s="16">
        <f t="shared" si="27"/>
        <v>4</v>
      </c>
      <c r="AZ18" s="16">
        <f t="shared" si="28"/>
        <v>4</v>
      </c>
      <c r="BA18" s="17">
        <f t="shared" si="29"/>
        <v>2</v>
      </c>
    </row>
    <row r="19" spans="1:53" x14ac:dyDescent="0.3">
      <c r="A19" s="184" t="s">
        <v>61</v>
      </c>
      <c r="B19" s="127">
        <v>43952</v>
      </c>
      <c r="C19" s="243">
        <v>43984</v>
      </c>
      <c r="D19" s="130">
        <v>0</v>
      </c>
      <c r="E19" s="129">
        <v>120</v>
      </c>
      <c r="F19" s="169">
        <v>0</v>
      </c>
      <c r="G19" s="247">
        <v>0</v>
      </c>
      <c r="H19" s="175">
        <v>340</v>
      </c>
      <c r="I19" s="176">
        <v>0</v>
      </c>
      <c r="J19" s="134">
        <v>0</v>
      </c>
      <c r="K19" s="133">
        <v>260</v>
      </c>
      <c r="L19" s="132">
        <v>0</v>
      </c>
      <c r="M19" s="134">
        <v>0</v>
      </c>
      <c r="N19" s="133">
        <v>224</v>
      </c>
      <c r="O19" s="132">
        <v>0</v>
      </c>
      <c r="P19" s="134">
        <v>0</v>
      </c>
      <c r="Q19" s="133">
        <v>876</v>
      </c>
      <c r="R19" s="132">
        <v>0</v>
      </c>
      <c r="S19" s="134">
        <v>0</v>
      </c>
      <c r="T19" s="133">
        <v>100</v>
      </c>
      <c r="U19" s="132">
        <v>0</v>
      </c>
      <c r="V19" s="134">
        <v>0</v>
      </c>
      <c r="W19" s="133">
        <v>900</v>
      </c>
      <c r="X19" s="132">
        <v>0</v>
      </c>
      <c r="Y19" s="134">
        <v>0</v>
      </c>
      <c r="Z19" s="133">
        <v>0</v>
      </c>
      <c r="AA19" s="132">
        <v>0</v>
      </c>
      <c r="AB19" s="134">
        <v>0</v>
      </c>
      <c r="AC19" s="133">
        <v>200</v>
      </c>
      <c r="AD19" s="132">
        <v>0</v>
      </c>
      <c r="AE19" s="134">
        <v>0</v>
      </c>
      <c r="AF19" s="133">
        <v>1000</v>
      </c>
      <c r="AG19" s="225">
        <v>0</v>
      </c>
      <c r="AH19" s="231">
        <f>+Janvier!AJ19</f>
        <v>309.43681318681325</v>
      </c>
      <c r="AI19" s="231">
        <f>+Janvier!AK19</f>
        <v>962.69230769230785</v>
      </c>
      <c r="AJ19" s="231">
        <f>+Janvier!AL19</f>
        <v>722.01923076923083</v>
      </c>
      <c r="AK19" s="231">
        <f>+Janvier!AM19</f>
        <v>722.01923076923083</v>
      </c>
      <c r="AL19" s="231">
        <f>+Janvier!AN19</f>
        <v>437.5874125874127</v>
      </c>
      <c r="AM19" s="231">
        <f>+Janvier!AO19</f>
        <v>270.75721153846155</v>
      </c>
      <c r="AN19" s="231">
        <f>+Janvier!AP19</f>
        <v>541.51442307692309</v>
      </c>
      <c r="AO19" s="231">
        <f>+Janvier!AQ19</f>
        <v>270.75721153846155</v>
      </c>
      <c r="AP19" s="231">
        <f>+Janvier!AR19</f>
        <v>270.75721153846155</v>
      </c>
      <c r="AQ19" s="231">
        <f>+Janvier!AS19</f>
        <v>481.34615384615392</v>
      </c>
      <c r="AR19" s="16">
        <f t="shared" si="20"/>
        <v>2</v>
      </c>
      <c r="AS19" s="16">
        <f t="shared" si="21"/>
        <v>2</v>
      </c>
      <c r="AT19" s="16">
        <f t="shared" si="22"/>
        <v>2</v>
      </c>
      <c r="AU19" s="16">
        <f t="shared" si="23"/>
        <v>2</v>
      </c>
      <c r="AV19" s="16">
        <f t="shared" si="24"/>
        <v>10</v>
      </c>
      <c r="AW19" s="16">
        <f t="shared" si="25"/>
        <v>2</v>
      </c>
      <c r="AX19" s="16">
        <f t="shared" si="26"/>
        <v>8</v>
      </c>
      <c r="AY19" s="16">
        <f t="shared" si="27"/>
        <v>0</v>
      </c>
      <c r="AZ19" s="16">
        <f t="shared" si="28"/>
        <v>4</v>
      </c>
      <c r="BA19" s="17">
        <f t="shared" si="29"/>
        <v>10</v>
      </c>
    </row>
    <row r="20" spans="1:53" ht="15" thickBot="1" x14ac:dyDescent="0.35">
      <c r="A20" s="121" t="s">
        <v>62</v>
      </c>
      <c r="B20" s="156">
        <v>43952</v>
      </c>
      <c r="C20" s="244">
        <v>43984</v>
      </c>
      <c r="D20" s="159">
        <v>500</v>
      </c>
      <c r="E20" s="158">
        <v>60</v>
      </c>
      <c r="F20" s="177">
        <v>0</v>
      </c>
      <c r="G20" s="248">
        <v>1000</v>
      </c>
      <c r="H20" s="179">
        <v>1100</v>
      </c>
      <c r="I20" s="180">
        <v>0</v>
      </c>
      <c r="J20" s="159">
        <v>1000</v>
      </c>
      <c r="K20" s="158">
        <v>800</v>
      </c>
      <c r="L20" s="157">
        <v>0</v>
      </c>
      <c r="M20" s="159">
        <v>1000</v>
      </c>
      <c r="N20" s="158">
        <v>1032</v>
      </c>
      <c r="O20" s="157">
        <v>0</v>
      </c>
      <c r="P20" s="159">
        <v>500</v>
      </c>
      <c r="Q20" s="158">
        <v>200</v>
      </c>
      <c r="R20" s="157">
        <v>0</v>
      </c>
      <c r="S20" s="159">
        <v>350</v>
      </c>
      <c r="T20" s="158">
        <v>80</v>
      </c>
      <c r="U20" s="157">
        <v>0</v>
      </c>
      <c r="V20" s="159">
        <v>500</v>
      </c>
      <c r="W20" s="158">
        <v>850</v>
      </c>
      <c r="X20" s="157">
        <v>0</v>
      </c>
      <c r="Y20" s="159">
        <v>500</v>
      </c>
      <c r="Z20" s="158">
        <v>300</v>
      </c>
      <c r="AA20" s="157">
        <v>0</v>
      </c>
      <c r="AB20" s="159">
        <v>500</v>
      </c>
      <c r="AC20" s="158">
        <v>100</v>
      </c>
      <c r="AD20" s="157">
        <v>0</v>
      </c>
      <c r="AE20" s="159">
        <v>1000</v>
      </c>
      <c r="AF20" s="158">
        <v>500</v>
      </c>
      <c r="AG20" s="226">
        <v>0</v>
      </c>
      <c r="AH20" s="231">
        <f>+Janvier!AJ20</f>
        <v>485.2335164835165</v>
      </c>
      <c r="AI20" s="231">
        <f>+Janvier!AK20</f>
        <v>1509.6153846153845</v>
      </c>
      <c r="AJ20" s="231">
        <f>+Janvier!AL20</f>
        <v>1132.2115384615383</v>
      </c>
      <c r="AK20" s="231">
        <f>+Janvier!AM20</f>
        <v>1132.2115384615383</v>
      </c>
      <c r="AL20" s="231">
        <f>+Janvier!AN20</f>
        <v>686.1888111888112</v>
      </c>
      <c r="AM20" s="231">
        <f>+Janvier!AO20</f>
        <v>424.57932692307691</v>
      </c>
      <c r="AN20" s="231">
        <f>+Janvier!AP20</f>
        <v>849.15865384615381</v>
      </c>
      <c r="AO20" s="231">
        <f>+Janvier!AQ20</f>
        <v>424.57932692307691</v>
      </c>
      <c r="AP20" s="231">
        <f>+Janvier!AR20</f>
        <v>424.57932692307691</v>
      </c>
      <c r="AQ20" s="231">
        <f>+Janvier!AS20</f>
        <v>754.80769230769226</v>
      </c>
      <c r="AR20" s="32">
        <f t="shared" si="20"/>
        <v>1</v>
      </c>
      <c r="AS20" s="32">
        <f t="shared" si="21"/>
        <v>4</v>
      </c>
      <c r="AT20" s="32">
        <f t="shared" si="22"/>
        <v>4</v>
      </c>
      <c r="AU20" s="32">
        <f t="shared" si="23"/>
        <v>5</v>
      </c>
      <c r="AV20" s="32">
        <f t="shared" si="24"/>
        <v>1</v>
      </c>
      <c r="AW20" s="32">
        <f t="shared" si="25"/>
        <v>1</v>
      </c>
      <c r="AX20" s="32">
        <f t="shared" si="26"/>
        <v>5</v>
      </c>
      <c r="AY20" s="32">
        <f t="shared" si="27"/>
        <v>4</v>
      </c>
      <c r="AZ20" s="32">
        <f t="shared" si="28"/>
        <v>1</v>
      </c>
      <c r="BA20" s="33">
        <f t="shared" si="29"/>
        <v>3</v>
      </c>
    </row>
    <row r="21" spans="1:53" x14ac:dyDescent="0.3">
      <c r="A21" s="140" t="s">
        <v>91</v>
      </c>
      <c r="B21" s="160">
        <v>43955</v>
      </c>
      <c r="C21" s="160">
        <v>43983</v>
      </c>
      <c r="D21" s="252">
        <v>42000</v>
      </c>
      <c r="E21" s="149">
        <v>27280</v>
      </c>
      <c r="F21" s="150">
        <v>0</v>
      </c>
      <c r="G21" s="125">
        <v>109000</v>
      </c>
      <c r="H21" s="123">
        <v>95000</v>
      </c>
      <c r="I21" s="126">
        <v>0</v>
      </c>
      <c r="J21" s="125">
        <v>79700</v>
      </c>
      <c r="K21" s="123">
        <v>69080</v>
      </c>
      <c r="L21" s="124">
        <v>0</v>
      </c>
      <c r="M21" s="125">
        <v>83000</v>
      </c>
      <c r="N21" s="123">
        <v>71002</v>
      </c>
      <c r="O21" s="124">
        <v>0</v>
      </c>
      <c r="P21" s="125">
        <v>56000</v>
      </c>
      <c r="Q21" s="123">
        <v>41580</v>
      </c>
      <c r="R21" s="124">
        <v>0</v>
      </c>
      <c r="S21" s="125">
        <v>27750</v>
      </c>
      <c r="T21" s="123">
        <v>21940</v>
      </c>
      <c r="U21" s="124">
        <v>0</v>
      </c>
      <c r="V21" s="125">
        <v>44500</v>
      </c>
      <c r="W21" s="123">
        <v>63040</v>
      </c>
      <c r="X21" s="124">
        <v>0</v>
      </c>
      <c r="Y21" s="125">
        <v>42000</v>
      </c>
      <c r="Z21" s="114">
        <v>27650</v>
      </c>
      <c r="AA21" s="115">
        <v>0</v>
      </c>
      <c r="AB21" s="113">
        <v>34300</v>
      </c>
      <c r="AC21" s="123">
        <v>30830</v>
      </c>
      <c r="AD21" s="124">
        <v>0</v>
      </c>
      <c r="AE21" s="125">
        <v>59100</v>
      </c>
      <c r="AF21" s="123">
        <v>67010</v>
      </c>
      <c r="AG21" s="126">
        <v>0</v>
      </c>
      <c r="AH21" s="231">
        <f>+Janvier!AJ21</f>
        <v>46732.578750000001</v>
      </c>
      <c r="AI21" s="231">
        <f>+Janvier!AK21</f>
        <v>160746.05769230769</v>
      </c>
      <c r="AJ21" s="231">
        <f>+Janvier!AL21</f>
        <v>107056.87442307695</v>
      </c>
      <c r="AK21" s="231">
        <f>+Janvier!AM21</f>
        <v>107056.87442307695</v>
      </c>
      <c r="AL21" s="231">
        <f>+Janvier!AN21</f>
        <v>67513.344230769231</v>
      </c>
      <c r="AM21" s="231">
        <f>+Janvier!AO21</f>
        <v>40186.514423076922</v>
      </c>
      <c r="AN21" s="231">
        <f>+Janvier!AP21</f>
        <v>80373.028846153844</v>
      </c>
      <c r="AO21" s="231">
        <f>+Janvier!AQ21</f>
        <v>40186.514423076922</v>
      </c>
      <c r="AP21" s="231">
        <f>+Janvier!AR21</f>
        <v>40186.514423076922</v>
      </c>
      <c r="AQ21" s="231">
        <f>+Janvier!AS21</f>
        <v>72549.877500000002</v>
      </c>
      <c r="AR21" s="90">
        <f>ROUND(E21/(AH21/15),0)</f>
        <v>9</v>
      </c>
      <c r="AS21" s="90">
        <f t="shared" ref="AS21" si="30">ROUND(H21/(AI21/15),0)</f>
        <v>9</v>
      </c>
      <c r="AT21" s="90">
        <f t="shared" ref="AT21" si="31">ROUND(K21/(AJ21/15),0)</f>
        <v>10</v>
      </c>
      <c r="AU21" s="90">
        <f t="shared" ref="AU21" si="32">ROUND(N21/(AK21/15),0)</f>
        <v>10</v>
      </c>
      <c r="AV21" s="90">
        <f t="shared" ref="AV21" si="33">ROUND(Q21/(AL21/15),0)</f>
        <v>9</v>
      </c>
      <c r="AW21" s="90">
        <f t="shared" ref="AW21" si="34">ROUND(T21/(AM21/15),0)</f>
        <v>8</v>
      </c>
      <c r="AX21" s="90">
        <f t="shared" ref="AX21" si="35">ROUND(W21/(AN21/15),0)</f>
        <v>12</v>
      </c>
      <c r="AY21" s="90">
        <f t="shared" ref="AY21" si="36">ROUND(Z21/(AO21/15),0)</f>
        <v>10</v>
      </c>
      <c r="AZ21" s="90">
        <f t="shared" ref="AZ21" si="37">ROUND(AC21/(AP21/15),0)</f>
        <v>12</v>
      </c>
      <c r="BA21" s="91">
        <f t="shared" ref="BA21" si="38">ROUND(AF21/(AQ21/15),0)</f>
        <v>14</v>
      </c>
    </row>
    <row r="22" spans="1:53" x14ac:dyDescent="0.3">
      <c r="A22" s="184" t="s">
        <v>14</v>
      </c>
      <c r="B22" s="94">
        <v>43951</v>
      </c>
      <c r="C22" s="94">
        <v>43982</v>
      </c>
      <c r="D22" s="104">
        <v>1660</v>
      </c>
      <c r="E22" s="96">
        <v>1300</v>
      </c>
      <c r="F22" s="97">
        <v>0</v>
      </c>
      <c r="G22" s="95">
        <v>4400</v>
      </c>
      <c r="H22" s="96">
        <v>6420</v>
      </c>
      <c r="I22" s="105">
        <v>0</v>
      </c>
      <c r="J22" s="95">
        <v>3380</v>
      </c>
      <c r="K22" s="96">
        <v>4890</v>
      </c>
      <c r="L22" s="97">
        <v>0</v>
      </c>
      <c r="M22" s="95">
        <v>3472</v>
      </c>
      <c r="N22" s="96">
        <v>4712</v>
      </c>
      <c r="O22" s="97">
        <v>0</v>
      </c>
      <c r="P22" s="95">
        <v>2005</v>
      </c>
      <c r="Q22" s="96">
        <v>2570</v>
      </c>
      <c r="R22" s="97">
        <v>0</v>
      </c>
      <c r="S22" s="95">
        <v>1310</v>
      </c>
      <c r="T22" s="96">
        <v>1760</v>
      </c>
      <c r="U22" s="97">
        <v>0</v>
      </c>
      <c r="V22" s="95">
        <v>2110</v>
      </c>
      <c r="W22" s="96">
        <v>3960</v>
      </c>
      <c r="X22" s="97">
        <v>0</v>
      </c>
      <c r="Y22" s="95">
        <v>1540</v>
      </c>
      <c r="Z22" s="96">
        <v>2030</v>
      </c>
      <c r="AA22" s="100">
        <v>0</v>
      </c>
      <c r="AB22" s="95">
        <v>1480</v>
      </c>
      <c r="AC22" s="96">
        <v>1980</v>
      </c>
      <c r="AD22" s="97">
        <v>0</v>
      </c>
      <c r="AE22" s="95">
        <v>1940</v>
      </c>
      <c r="AF22" s="96">
        <v>4460</v>
      </c>
      <c r="AG22" s="105">
        <v>0</v>
      </c>
      <c r="AH22" s="231">
        <f>+Janvier!AJ22</f>
        <v>1770.3296703296703</v>
      </c>
      <c r="AI22" s="231">
        <f>+Janvier!AK22</f>
        <v>5507.6923076923067</v>
      </c>
      <c r="AJ22" s="231">
        <f>+Janvier!AL22</f>
        <v>4130.7692307692305</v>
      </c>
      <c r="AK22" s="231">
        <f>+Janvier!AM22</f>
        <v>4130.7692307692305</v>
      </c>
      <c r="AL22" s="231">
        <f>+Janvier!AN22</f>
        <v>2503.4965034965039</v>
      </c>
      <c r="AM22" s="231">
        <f>+Janvier!AO22</f>
        <v>1549.0384615384617</v>
      </c>
      <c r="AN22" s="231">
        <f>+Janvier!AP22</f>
        <v>3098.0769230769233</v>
      </c>
      <c r="AO22" s="231">
        <f>+Janvier!AQ22</f>
        <v>1549.0384615384617</v>
      </c>
      <c r="AP22" s="231">
        <f>+Janvier!AR22</f>
        <v>1549.0384615384617</v>
      </c>
      <c r="AQ22" s="231">
        <f>+Janvier!AS22</f>
        <v>2753.8461538461534</v>
      </c>
      <c r="AR22" s="90">
        <f t="shared" ref="AR22:AR29" si="39">ROUND(E22/(AH22/5),0)</f>
        <v>4</v>
      </c>
      <c r="AS22" s="90">
        <f t="shared" ref="AS22:AS29" si="40">ROUND(H22/(AI22/5),0)</f>
        <v>6</v>
      </c>
      <c r="AT22" s="90">
        <f t="shared" ref="AT22:AT29" si="41">ROUND(K22/(AJ22/5),0)</f>
        <v>6</v>
      </c>
      <c r="AU22" s="90">
        <f t="shared" ref="AU22:AU29" si="42">ROUND(N22/(AK22/5),0)</f>
        <v>6</v>
      </c>
      <c r="AV22" s="90">
        <f t="shared" ref="AV22:AV29" si="43">ROUND(Q22/(AL22/5),0)</f>
        <v>5</v>
      </c>
      <c r="AW22" s="90">
        <f t="shared" ref="AW22:AW29" si="44">ROUND(T22/(AM22/5),0)</f>
        <v>6</v>
      </c>
      <c r="AX22" s="90">
        <f t="shared" ref="AX22" si="45">ROUND(W22/(AN22/5),0)</f>
        <v>6</v>
      </c>
      <c r="AY22" s="90">
        <f t="shared" ref="AY22:AY29" si="46">ROUND(Z22/(AO22/5),0)</f>
        <v>7</v>
      </c>
      <c r="AZ22" s="90">
        <f t="shared" ref="AZ22:AZ29" si="47">ROUND(AC22/(AP22/5),0)</f>
        <v>6</v>
      </c>
      <c r="BA22" s="91">
        <f t="shared" ref="BA22:BA29" si="48">ROUND(AF22/(AQ22/5),0)</f>
        <v>8</v>
      </c>
    </row>
    <row r="23" spans="1:53" x14ac:dyDescent="0.3">
      <c r="A23" s="184" t="s">
        <v>15</v>
      </c>
      <c r="B23" s="94">
        <v>43953</v>
      </c>
      <c r="C23" s="94">
        <v>43982</v>
      </c>
      <c r="D23" s="104">
        <v>1180</v>
      </c>
      <c r="E23" s="96">
        <v>1500</v>
      </c>
      <c r="F23" s="97">
        <v>0</v>
      </c>
      <c r="G23" s="95">
        <v>3700</v>
      </c>
      <c r="H23" s="96">
        <v>4800</v>
      </c>
      <c r="I23" s="105">
        <v>0</v>
      </c>
      <c r="J23" s="95">
        <v>2800</v>
      </c>
      <c r="K23" s="96">
        <v>3600</v>
      </c>
      <c r="L23" s="97">
        <v>0</v>
      </c>
      <c r="M23" s="95">
        <v>2800</v>
      </c>
      <c r="N23" s="96">
        <v>3600</v>
      </c>
      <c r="O23" s="97">
        <v>0</v>
      </c>
      <c r="P23" s="95">
        <v>1811</v>
      </c>
      <c r="Q23" s="96">
        <v>2272</v>
      </c>
      <c r="R23" s="97">
        <v>0</v>
      </c>
      <c r="S23" s="95">
        <v>1000</v>
      </c>
      <c r="T23" s="96">
        <v>1200</v>
      </c>
      <c r="U23" s="97">
        <v>0</v>
      </c>
      <c r="V23" s="95">
        <v>1550</v>
      </c>
      <c r="W23" s="96">
        <v>2400</v>
      </c>
      <c r="X23" s="97">
        <v>0</v>
      </c>
      <c r="Y23" s="95">
        <v>1060</v>
      </c>
      <c r="Z23" s="96">
        <v>1360</v>
      </c>
      <c r="AA23" s="100">
        <v>0</v>
      </c>
      <c r="AB23" s="95">
        <v>1060</v>
      </c>
      <c r="AC23" s="96">
        <v>1360</v>
      </c>
      <c r="AD23" s="97">
        <v>0</v>
      </c>
      <c r="AE23" s="95">
        <v>2170</v>
      </c>
      <c r="AF23" s="96">
        <v>3060</v>
      </c>
      <c r="AG23" s="105">
        <v>0</v>
      </c>
      <c r="AH23" s="231">
        <f>+Janvier!AJ23</f>
        <v>768.21428571428578</v>
      </c>
      <c r="AI23" s="231">
        <f>+Janvier!AK23</f>
        <v>2390.0000000000005</v>
      </c>
      <c r="AJ23" s="231">
        <f>+Janvier!AL23</f>
        <v>1792.5000000000002</v>
      </c>
      <c r="AK23" s="231">
        <f>+Janvier!AM23</f>
        <v>1792.5000000000002</v>
      </c>
      <c r="AL23" s="231">
        <f>+Janvier!AN23</f>
        <v>1086.3636363636365</v>
      </c>
      <c r="AM23" s="231">
        <f>+Janvier!AO23</f>
        <v>672.1875</v>
      </c>
      <c r="AN23" s="231">
        <f>+Janvier!AP23</f>
        <v>1344.375</v>
      </c>
      <c r="AO23" s="231">
        <f>+Janvier!AQ23</f>
        <v>672.1875</v>
      </c>
      <c r="AP23" s="231">
        <f>+Janvier!AR23</f>
        <v>672.1875</v>
      </c>
      <c r="AQ23" s="231">
        <f>+Janvier!AS23</f>
        <v>1195.0000000000002</v>
      </c>
      <c r="AR23" s="90">
        <f t="shared" si="39"/>
        <v>10</v>
      </c>
      <c r="AS23" s="90">
        <f t="shared" si="40"/>
        <v>10</v>
      </c>
      <c r="AT23" s="90">
        <f t="shared" si="41"/>
        <v>10</v>
      </c>
      <c r="AU23" s="90">
        <f t="shared" si="42"/>
        <v>10</v>
      </c>
      <c r="AV23" s="90">
        <f t="shared" si="43"/>
        <v>10</v>
      </c>
      <c r="AW23" s="90">
        <f t="shared" si="44"/>
        <v>9</v>
      </c>
      <c r="AX23" s="90">
        <f>ROUND(W23/(AN23/5),0)</f>
        <v>9</v>
      </c>
      <c r="AY23" s="90">
        <f t="shared" si="46"/>
        <v>10</v>
      </c>
      <c r="AZ23" s="90">
        <f t="shared" si="47"/>
        <v>10</v>
      </c>
      <c r="BA23" s="91">
        <f t="shared" si="48"/>
        <v>13</v>
      </c>
    </row>
    <row r="24" spans="1:53" ht="14.25" customHeight="1" x14ac:dyDescent="0.3">
      <c r="A24" s="184" t="s">
        <v>16</v>
      </c>
      <c r="B24" s="94">
        <v>43952</v>
      </c>
      <c r="C24" s="94">
        <v>43982</v>
      </c>
      <c r="D24" s="104">
        <v>2000</v>
      </c>
      <c r="E24" s="96">
        <v>2880</v>
      </c>
      <c r="F24" s="97">
        <v>0</v>
      </c>
      <c r="G24" s="95">
        <v>5960</v>
      </c>
      <c r="H24" s="96">
        <v>8860</v>
      </c>
      <c r="I24" s="105">
        <v>0</v>
      </c>
      <c r="J24" s="95">
        <v>4790</v>
      </c>
      <c r="K24" s="96">
        <v>6640</v>
      </c>
      <c r="L24" s="97">
        <v>0</v>
      </c>
      <c r="M24" s="95">
        <v>4184</v>
      </c>
      <c r="N24" s="96">
        <v>6640</v>
      </c>
      <c r="O24" s="97">
        <v>0</v>
      </c>
      <c r="P24" s="95">
        <v>2608</v>
      </c>
      <c r="Q24" s="96">
        <v>4299</v>
      </c>
      <c r="R24" s="97">
        <v>0</v>
      </c>
      <c r="S24" s="95">
        <v>1450</v>
      </c>
      <c r="T24" s="96">
        <v>2220</v>
      </c>
      <c r="U24" s="97">
        <v>0</v>
      </c>
      <c r="V24" s="95">
        <v>2370</v>
      </c>
      <c r="W24" s="96">
        <v>5270</v>
      </c>
      <c r="X24" s="97">
        <v>0</v>
      </c>
      <c r="Y24" s="95">
        <v>1720</v>
      </c>
      <c r="Z24" s="96">
        <v>2640</v>
      </c>
      <c r="AA24" s="100">
        <v>0</v>
      </c>
      <c r="AB24" s="95">
        <v>1440</v>
      </c>
      <c r="AC24" s="96">
        <v>2440</v>
      </c>
      <c r="AD24" s="97">
        <v>0</v>
      </c>
      <c r="AE24" s="95">
        <v>1210</v>
      </c>
      <c r="AF24" s="96">
        <v>5580</v>
      </c>
      <c r="AG24" s="105">
        <v>0</v>
      </c>
      <c r="AH24" s="231">
        <f>+Janvier!AJ24</f>
        <v>3452.1428571428573</v>
      </c>
      <c r="AI24" s="231">
        <f>+Janvier!AK24</f>
        <v>10740.000000000002</v>
      </c>
      <c r="AJ24" s="231">
        <f>+Janvier!AL24</f>
        <v>8055</v>
      </c>
      <c r="AK24" s="231">
        <f>+Janvier!AM24</f>
        <v>8055</v>
      </c>
      <c r="AL24" s="231">
        <f>+Janvier!AN24</f>
        <v>4881.818181818182</v>
      </c>
      <c r="AM24" s="231">
        <f>+Janvier!AO24</f>
        <v>3020.6250000000005</v>
      </c>
      <c r="AN24" s="231">
        <f>+Janvier!AP24</f>
        <v>6041.2500000000009</v>
      </c>
      <c r="AO24" s="231">
        <f>+Janvier!AQ24</f>
        <v>3020.6250000000005</v>
      </c>
      <c r="AP24" s="231">
        <f>+Janvier!AR24</f>
        <v>3020.6250000000005</v>
      </c>
      <c r="AQ24" s="231">
        <f>+Janvier!AS24</f>
        <v>5370.0000000000009</v>
      </c>
      <c r="AR24" s="90">
        <f t="shared" si="39"/>
        <v>4</v>
      </c>
      <c r="AS24" s="90">
        <f t="shared" si="40"/>
        <v>4</v>
      </c>
      <c r="AT24" s="90">
        <f t="shared" si="41"/>
        <v>4</v>
      </c>
      <c r="AU24" s="90">
        <f t="shared" si="42"/>
        <v>4</v>
      </c>
      <c r="AV24" s="90">
        <f t="shared" si="43"/>
        <v>4</v>
      </c>
      <c r="AW24" s="90">
        <f>ROUND(T24/(AM24/5),0)</f>
        <v>4</v>
      </c>
      <c r="AX24" s="90">
        <f t="shared" ref="AX24:AX29" si="49">ROUND(W24/(AN24/5),0)</f>
        <v>4</v>
      </c>
      <c r="AY24" s="90">
        <f t="shared" si="46"/>
        <v>4</v>
      </c>
      <c r="AZ24" s="90">
        <f t="shared" si="47"/>
        <v>4</v>
      </c>
      <c r="BA24" s="91">
        <f t="shared" si="48"/>
        <v>5</v>
      </c>
    </row>
    <row r="25" spans="1:53" ht="14.25" customHeight="1" x14ac:dyDescent="0.3">
      <c r="A25" s="184" t="s">
        <v>17</v>
      </c>
      <c r="B25" s="94">
        <v>43955</v>
      </c>
      <c r="C25" s="94">
        <v>43983</v>
      </c>
      <c r="D25" s="104">
        <v>3440</v>
      </c>
      <c r="E25" s="96">
        <v>3700</v>
      </c>
      <c r="F25" s="97">
        <v>0</v>
      </c>
      <c r="G25" s="95">
        <v>8080</v>
      </c>
      <c r="H25" s="96">
        <v>11700</v>
      </c>
      <c r="I25" s="105">
        <v>0</v>
      </c>
      <c r="J25" s="95">
        <v>7670</v>
      </c>
      <c r="K25" s="96">
        <v>8770</v>
      </c>
      <c r="L25" s="97">
        <v>0</v>
      </c>
      <c r="M25" s="95">
        <v>7372</v>
      </c>
      <c r="N25" s="96">
        <v>8770</v>
      </c>
      <c r="O25" s="97">
        <v>0</v>
      </c>
      <c r="P25" s="95">
        <v>4520</v>
      </c>
      <c r="Q25" s="96">
        <v>5625</v>
      </c>
      <c r="R25" s="97">
        <v>0</v>
      </c>
      <c r="S25" s="95">
        <v>2225</v>
      </c>
      <c r="T25" s="96">
        <v>2930</v>
      </c>
      <c r="U25" s="97">
        <v>0</v>
      </c>
      <c r="V25" s="95">
        <v>3600</v>
      </c>
      <c r="W25" s="96">
        <v>6970</v>
      </c>
      <c r="X25" s="97">
        <v>0</v>
      </c>
      <c r="Y25" s="95">
        <v>2100</v>
      </c>
      <c r="Z25" s="96">
        <v>3490</v>
      </c>
      <c r="AA25" s="100">
        <v>0</v>
      </c>
      <c r="AB25" s="95">
        <v>2110</v>
      </c>
      <c r="AC25" s="96">
        <v>3490</v>
      </c>
      <c r="AD25" s="97">
        <v>0</v>
      </c>
      <c r="AE25" s="95">
        <v>2670</v>
      </c>
      <c r="AF25" s="96">
        <v>7320</v>
      </c>
      <c r="AG25" s="105">
        <v>0</v>
      </c>
      <c r="AH25" s="231">
        <f>+Janvier!AJ25</f>
        <v>3638.3241758241757</v>
      </c>
      <c r="AI25" s="231">
        <f>+Janvier!AK25</f>
        <v>11319.23076923077</v>
      </c>
      <c r="AJ25" s="231">
        <f>+Janvier!AL25</f>
        <v>8489.423076923078</v>
      </c>
      <c r="AK25" s="231">
        <f>+Janvier!AM25</f>
        <v>8489.423076923078</v>
      </c>
      <c r="AL25" s="231">
        <f>+Janvier!AN25</f>
        <v>5145.1048951048951</v>
      </c>
      <c r="AM25" s="231">
        <f>+Janvier!AO25</f>
        <v>3183.5336538461534</v>
      </c>
      <c r="AN25" s="231">
        <f>+Janvier!AP25</f>
        <v>6367.0673076923067</v>
      </c>
      <c r="AO25" s="231">
        <f>+Janvier!AQ25</f>
        <v>3183.5336538461534</v>
      </c>
      <c r="AP25" s="231">
        <f>+Janvier!AR25</f>
        <v>3183.5336538461534</v>
      </c>
      <c r="AQ25" s="231">
        <f>+Janvier!AS25</f>
        <v>5659.6153846153848</v>
      </c>
      <c r="AR25" s="90">
        <f t="shared" si="39"/>
        <v>5</v>
      </c>
      <c r="AS25" s="90">
        <f t="shared" si="40"/>
        <v>5</v>
      </c>
      <c r="AT25" s="90">
        <f t="shared" si="41"/>
        <v>5</v>
      </c>
      <c r="AU25" s="90">
        <f t="shared" si="42"/>
        <v>5</v>
      </c>
      <c r="AV25" s="90">
        <f>ROUND(Q25/(AL25/5),0)</f>
        <v>5</v>
      </c>
      <c r="AW25" s="90">
        <f t="shared" si="44"/>
        <v>5</v>
      </c>
      <c r="AX25" s="90">
        <f t="shared" si="49"/>
        <v>5</v>
      </c>
      <c r="AY25" s="90">
        <f t="shared" si="46"/>
        <v>5</v>
      </c>
      <c r="AZ25" s="90">
        <f t="shared" si="47"/>
        <v>5</v>
      </c>
      <c r="BA25" s="91">
        <f t="shared" si="48"/>
        <v>6</v>
      </c>
    </row>
    <row r="26" spans="1:53" ht="14.25" customHeight="1" x14ac:dyDescent="0.3">
      <c r="A26" s="184" t="s">
        <v>18</v>
      </c>
      <c r="B26" s="94">
        <v>43951</v>
      </c>
      <c r="C26" s="94">
        <v>43982</v>
      </c>
      <c r="D26" s="104">
        <v>1800</v>
      </c>
      <c r="E26" s="96">
        <v>1800</v>
      </c>
      <c r="F26" s="97">
        <v>0</v>
      </c>
      <c r="G26" s="95">
        <v>4320</v>
      </c>
      <c r="H26" s="96">
        <v>4600</v>
      </c>
      <c r="I26" s="105">
        <v>0</v>
      </c>
      <c r="J26" s="95">
        <v>3430</v>
      </c>
      <c r="K26" s="96">
        <v>3400</v>
      </c>
      <c r="L26" s="97">
        <v>0</v>
      </c>
      <c r="M26" s="95">
        <v>3456</v>
      </c>
      <c r="N26" s="96">
        <v>3680</v>
      </c>
      <c r="O26" s="97">
        <v>0</v>
      </c>
      <c r="P26" s="95">
        <v>2229</v>
      </c>
      <c r="Q26" s="96">
        <v>2366</v>
      </c>
      <c r="R26" s="97">
        <v>0</v>
      </c>
      <c r="S26" s="95">
        <v>1190</v>
      </c>
      <c r="T26" s="96">
        <v>1240</v>
      </c>
      <c r="U26" s="97">
        <v>0</v>
      </c>
      <c r="V26" s="95">
        <v>2500</v>
      </c>
      <c r="W26" s="96">
        <v>2940</v>
      </c>
      <c r="X26" s="97">
        <v>0</v>
      </c>
      <c r="Y26" s="95">
        <v>1410</v>
      </c>
      <c r="Z26" s="96">
        <v>1480</v>
      </c>
      <c r="AA26" s="100">
        <v>0</v>
      </c>
      <c r="AB26" s="95">
        <v>1420</v>
      </c>
      <c r="AC26" s="96">
        <v>1480</v>
      </c>
      <c r="AD26" s="97">
        <v>0</v>
      </c>
      <c r="AE26" s="95">
        <v>2610</v>
      </c>
      <c r="AF26" s="96">
        <v>3080</v>
      </c>
      <c r="AG26" s="105">
        <v>0</v>
      </c>
      <c r="AH26" s="231">
        <f>+Janvier!AJ26</f>
        <v>723.70879120879124</v>
      </c>
      <c r="AI26" s="231">
        <f>+Janvier!AK26</f>
        <v>2251.5384615384619</v>
      </c>
      <c r="AJ26" s="231">
        <f>+Janvier!AL26</f>
        <v>1688.6538461538464</v>
      </c>
      <c r="AK26" s="231">
        <f>+Janvier!AM26</f>
        <v>1688.6538461538464</v>
      </c>
      <c r="AL26" s="231">
        <f>+Janvier!AN26</f>
        <v>1023.4265734265737</v>
      </c>
      <c r="AM26" s="231">
        <f>+Janvier!AO26</f>
        <v>633.24519230769238</v>
      </c>
      <c r="AN26" s="231">
        <f>+Janvier!AP26</f>
        <v>1266.4903846153848</v>
      </c>
      <c r="AO26" s="231">
        <f>+Janvier!AQ26</f>
        <v>633.24519230769238</v>
      </c>
      <c r="AP26" s="231">
        <f>+Janvier!AR26</f>
        <v>633.24519230769238</v>
      </c>
      <c r="AQ26" s="231">
        <f>+Janvier!AS26</f>
        <v>1125.7692307692309</v>
      </c>
      <c r="AR26" s="90">
        <f t="shared" si="39"/>
        <v>12</v>
      </c>
      <c r="AS26" s="90">
        <f t="shared" si="40"/>
        <v>10</v>
      </c>
      <c r="AT26" s="90">
        <f t="shared" si="41"/>
        <v>10</v>
      </c>
      <c r="AU26" s="90">
        <f t="shared" si="42"/>
        <v>11</v>
      </c>
      <c r="AV26" s="90">
        <f t="shared" si="43"/>
        <v>12</v>
      </c>
      <c r="AW26" s="90">
        <f t="shared" si="44"/>
        <v>10</v>
      </c>
      <c r="AX26" s="90">
        <f t="shared" si="49"/>
        <v>12</v>
      </c>
      <c r="AY26" s="90">
        <f t="shared" si="46"/>
        <v>12</v>
      </c>
      <c r="AZ26" s="90">
        <f t="shared" si="47"/>
        <v>12</v>
      </c>
      <c r="BA26" s="91">
        <f t="shared" si="48"/>
        <v>14</v>
      </c>
    </row>
    <row r="27" spans="1:53" ht="14.25" customHeight="1" x14ac:dyDescent="0.3">
      <c r="A27" s="184" t="s">
        <v>19</v>
      </c>
      <c r="B27" s="94">
        <v>43950</v>
      </c>
      <c r="C27" s="94">
        <v>43982</v>
      </c>
      <c r="D27" s="104">
        <v>1940</v>
      </c>
      <c r="E27" s="96">
        <v>1980</v>
      </c>
      <c r="F27" s="97">
        <v>0</v>
      </c>
      <c r="G27" s="95">
        <v>4940</v>
      </c>
      <c r="H27" s="96">
        <v>6240</v>
      </c>
      <c r="I27" s="105">
        <v>0</v>
      </c>
      <c r="J27" s="95">
        <v>3690</v>
      </c>
      <c r="K27" s="96">
        <v>4670</v>
      </c>
      <c r="L27" s="97">
        <v>0</v>
      </c>
      <c r="M27" s="95">
        <v>3774</v>
      </c>
      <c r="N27" s="96">
        <v>4670</v>
      </c>
      <c r="O27" s="97">
        <v>0</v>
      </c>
      <c r="P27" s="95">
        <v>2497</v>
      </c>
      <c r="Q27" s="96">
        <v>2988</v>
      </c>
      <c r="R27" s="97">
        <v>0</v>
      </c>
      <c r="S27" s="95">
        <v>1260</v>
      </c>
      <c r="T27" s="96">
        <v>1570</v>
      </c>
      <c r="U27" s="97">
        <v>0</v>
      </c>
      <c r="V27" s="95">
        <v>2510</v>
      </c>
      <c r="W27" s="96">
        <v>3700</v>
      </c>
      <c r="X27" s="97">
        <v>0</v>
      </c>
      <c r="Y27" s="95">
        <v>1550</v>
      </c>
      <c r="Z27" s="96">
        <v>1850</v>
      </c>
      <c r="AA27" s="100">
        <v>0</v>
      </c>
      <c r="AB27" s="95">
        <v>1490</v>
      </c>
      <c r="AC27" s="96">
        <v>1850</v>
      </c>
      <c r="AD27" s="97">
        <v>0</v>
      </c>
      <c r="AE27" s="95">
        <v>2880</v>
      </c>
      <c r="AF27" s="96">
        <v>3890</v>
      </c>
      <c r="AG27" s="105">
        <v>0</v>
      </c>
      <c r="AH27" s="231">
        <f>+Janvier!AJ27</f>
        <v>1833.75</v>
      </c>
      <c r="AI27" s="231">
        <f>+Janvier!AK27</f>
        <v>5705.0000000000009</v>
      </c>
      <c r="AJ27" s="231">
        <f>+Janvier!AL27</f>
        <v>4278.7500000000009</v>
      </c>
      <c r="AK27" s="231">
        <f>+Janvier!AM27</f>
        <v>4278.7500000000009</v>
      </c>
      <c r="AL27" s="231">
        <f>+Janvier!AN27</f>
        <v>2593.1818181818189</v>
      </c>
      <c r="AM27" s="231">
        <f>+Janvier!AO27</f>
        <v>1604.53125</v>
      </c>
      <c r="AN27" s="231">
        <f>+Janvier!AP27</f>
        <v>3209.0625</v>
      </c>
      <c r="AO27" s="231">
        <f>+Janvier!AQ27</f>
        <v>1604.53125</v>
      </c>
      <c r="AP27" s="231">
        <f>+Janvier!AR27</f>
        <v>1604.53125</v>
      </c>
      <c r="AQ27" s="231">
        <f>+Janvier!AS27</f>
        <v>2852.5000000000005</v>
      </c>
      <c r="AR27" s="90">
        <f t="shared" si="39"/>
        <v>5</v>
      </c>
      <c r="AS27" s="90">
        <f t="shared" si="40"/>
        <v>5</v>
      </c>
      <c r="AT27" s="90">
        <f t="shared" si="41"/>
        <v>5</v>
      </c>
      <c r="AU27" s="90">
        <f t="shared" si="42"/>
        <v>5</v>
      </c>
      <c r="AV27" s="90">
        <f t="shared" si="43"/>
        <v>6</v>
      </c>
      <c r="AW27" s="90">
        <f t="shared" si="44"/>
        <v>5</v>
      </c>
      <c r="AX27" s="90">
        <f t="shared" si="49"/>
        <v>6</v>
      </c>
      <c r="AY27" s="90">
        <f t="shared" si="46"/>
        <v>6</v>
      </c>
      <c r="AZ27" s="90">
        <f t="shared" si="47"/>
        <v>6</v>
      </c>
      <c r="BA27" s="91">
        <f t="shared" si="48"/>
        <v>7</v>
      </c>
    </row>
    <row r="28" spans="1:53" ht="14.25" customHeight="1" x14ac:dyDescent="0.3">
      <c r="A28" s="184" t="s">
        <v>20</v>
      </c>
      <c r="B28" s="94">
        <v>43952</v>
      </c>
      <c r="C28" s="94">
        <v>43982</v>
      </c>
      <c r="D28" s="104">
        <v>2600</v>
      </c>
      <c r="E28" s="96">
        <v>2620</v>
      </c>
      <c r="F28" s="97">
        <v>0</v>
      </c>
      <c r="G28" s="95">
        <v>6940</v>
      </c>
      <c r="H28" s="96">
        <v>8200</v>
      </c>
      <c r="I28" s="105">
        <v>0</v>
      </c>
      <c r="J28" s="95">
        <v>6150</v>
      </c>
      <c r="K28" s="96">
        <v>7120</v>
      </c>
      <c r="L28" s="97">
        <v>0</v>
      </c>
      <c r="M28" s="95">
        <v>5248</v>
      </c>
      <c r="N28" s="96">
        <v>6220</v>
      </c>
      <c r="O28" s="97">
        <v>0</v>
      </c>
      <c r="P28" s="95">
        <v>2794</v>
      </c>
      <c r="Q28" s="96">
        <v>3309</v>
      </c>
      <c r="R28" s="97">
        <v>0</v>
      </c>
      <c r="S28" s="95">
        <v>1765</v>
      </c>
      <c r="T28" s="96">
        <v>1965</v>
      </c>
      <c r="U28" s="97">
        <v>0</v>
      </c>
      <c r="V28" s="95">
        <v>3900</v>
      </c>
      <c r="W28" s="96">
        <v>4980</v>
      </c>
      <c r="X28" s="97">
        <v>0</v>
      </c>
      <c r="Y28" s="95">
        <v>2160</v>
      </c>
      <c r="Z28" s="96">
        <v>2480</v>
      </c>
      <c r="AA28" s="100">
        <v>0</v>
      </c>
      <c r="AB28" s="95">
        <v>2170</v>
      </c>
      <c r="AC28" s="96">
        <v>2460</v>
      </c>
      <c r="AD28" s="97">
        <v>0</v>
      </c>
      <c r="AE28" s="95">
        <v>4130</v>
      </c>
      <c r="AF28" s="96">
        <v>5200</v>
      </c>
      <c r="AG28" s="105">
        <v>0</v>
      </c>
      <c r="AH28" s="231">
        <f>+Janvier!AJ28</f>
        <v>1230.2060439560439</v>
      </c>
      <c r="AI28" s="231">
        <f>+Janvier!AK28</f>
        <v>3827.3076923076924</v>
      </c>
      <c r="AJ28" s="231">
        <f>+Janvier!AL28</f>
        <v>2870.4807692307691</v>
      </c>
      <c r="AK28" s="231">
        <f>+Janvier!AM28</f>
        <v>2870.4807692307691</v>
      </c>
      <c r="AL28" s="231">
        <f>+Janvier!AN28</f>
        <v>1739.6853146853146</v>
      </c>
      <c r="AM28" s="231">
        <f>+Janvier!AO28</f>
        <v>1076.4302884615383</v>
      </c>
      <c r="AN28" s="231">
        <f>+Janvier!AP28</f>
        <v>2152.8605769230767</v>
      </c>
      <c r="AO28" s="231">
        <f>+Janvier!AQ28</f>
        <v>1076.4302884615383</v>
      </c>
      <c r="AP28" s="231">
        <f>+Janvier!AR28</f>
        <v>1076.4302884615383</v>
      </c>
      <c r="AQ28" s="231">
        <f>+Janvier!AS28</f>
        <v>1913.6538461538462</v>
      </c>
      <c r="AR28" s="90">
        <f t="shared" si="39"/>
        <v>11</v>
      </c>
      <c r="AS28" s="90">
        <f t="shared" si="40"/>
        <v>11</v>
      </c>
      <c r="AT28" s="90">
        <f t="shared" si="41"/>
        <v>12</v>
      </c>
      <c r="AU28" s="90">
        <f t="shared" si="42"/>
        <v>11</v>
      </c>
      <c r="AV28" s="90">
        <f t="shared" si="43"/>
        <v>10</v>
      </c>
      <c r="AW28" s="90">
        <f t="shared" si="44"/>
        <v>9</v>
      </c>
      <c r="AX28" s="90">
        <f t="shared" si="49"/>
        <v>12</v>
      </c>
      <c r="AY28" s="90">
        <f t="shared" si="46"/>
        <v>12</v>
      </c>
      <c r="AZ28" s="90">
        <f t="shared" si="47"/>
        <v>11</v>
      </c>
      <c r="BA28" s="91">
        <f t="shared" si="48"/>
        <v>14</v>
      </c>
    </row>
    <row r="29" spans="1:53" ht="15" thickBot="1" x14ac:dyDescent="0.35">
      <c r="A29" s="121" t="s">
        <v>79</v>
      </c>
      <c r="B29" s="143">
        <v>43953</v>
      </c>
      <c r="C29" s="143">
        <v>43982</v>
      </c>
      <c r="D29" s="161">
        <v>4000</v>
      </c>
      <c r="E29" s="109">
        <v>3760</v>
      </c>
      <c r="F29" s="110">
        <v>0</v>
      </c>
      <c r="G29" s="111">
        <v>12000</v>
      </c>
      <c r="H29" s="109">
        <v>12060</v>
      </c>
      <c r="I29" s="112">
        <v>0</v>
      </c>
      <c r="J29" s="111">
        <v>7690</v>
      </c>
      <c r="K29" s="109">
        <v>8010</v>
      </c>
      <c r="L29" s="110">
        <v>0</v>
      </c>
      <c r="M29" s="111">
        <v>9400</v>
      </c>
      <c r="N29" s="109">
        <v>9732</v>
      </c>
      <c r="O29" s="110">
        <v>0</v>
      </c>
      <c r="P29" s="111">
        <v>6000</v>
      </c>
      <c r="Q29" s="109">
        <v>5790</v>
      </c>
      <c r="R29" s="110">
        <v>0</v>
      </c>
      <c r="S29" s="111">
        <v>2800</v>
      </c>
      <c r="T29" s="109">
        <v>2730</v>
      </c>
      <c r="U29" s="110">
        <v>0</v>
      </c>
      <c r="V29" s="111">
        <v>5000</v>
      </c>
      <c r="W29" s="109">
        <v>7170</v>
      </c>
      <c r="X29" s="110">
        <v>0</v>
      </c>
      <c r="Y29" s="111">
        <v>3800</v>
      </c>
      <c r="Z29" s="109">
        <v>3540</v>
      </c>
      <c r="AA29" s="162">
        <v>0</v>
      </c>
      <c r="AB29" s="111">
        <v>2900</v>
      </c>
      <c r="AC29" s="109">
        <v>3560</v>
      </c>
      <c r="AD29" s="110">
        <v>0</v>
      </c>
      <c r="AE29" s="111">
        <v>6000</v>
      </c>
      <c r="AF29" s="109">
        <v>7010</v>
      </c>
      <c r="AG29" s="112">
        <v>0</v>
      </c>
      <c r="AH29" s="231">
        <f>+Janvier!AJ29</f>
        <v>1892.3489010989013</v>
      </c>
      <c r="AI29" s="231">
        <f>+Janvier!AK29</f>
        <v>5887.3076923076933</v>
      </c>
      <c r="AJ29" s="231">
        <f>+Janvier!AL29</f>
        <v>4415.4807692307704</v>
      </c>
      <c r="AK29" s="231">
        <f>+Janvier!AM29</f>
        <v>4415.4807692307704</v>
      </c>
      <c r="AL29" s="231">
        <f>+Janvier!AN29</f>
        <v>2676.0489510489515</v>
      </c>
      <c r="AM29" s="231">
        <f>+Janvier!AO29</f>
        <v>1655.8052884615383</v>
      </c>
      <c r="AN29" s="231">
        <f>+Janvier!AP29</f>
        <v>3311.6105769230767</v>
      </c>
      <c r="AO29" s="231">
        <f>+Janvier!AQ29</f>
        <v>1655.8052884615383</v>
      </c>
      <c r="AP29" s="231">
        <f>+Janvier!AR29</f>
        <v>1655.8052884615383</v>
      </c>
      <c r="AQ29" s="231">
        <f>+Janvier!AS29</f>
        <v>2943.6538461538466</v>
      </c>
      <c r="AR29" s="92">
        <f t="shared" si="39"/>
        <v>10</v>
      </c>
      <c r="AS29" s="92">
        <f t="shared" si="40"/>
        <v>10</v>
      </c>
      <c r="AT29" s="92">
        <f t="shared" si="41"/>
        <v>9</v>
      </c>
      <c r="AU29" s="92">
        <f t="shared" si="42"/>
        <v>11</v>
      </c>
      <c r="AV29" s="92">
        <f t="shared" si="43"/>
        <v>11</v>
      </c>
      <c r="AW29" s="92">
        <f t="shared" si="44"/>
        <v>8</v>
      </c>
      <c r="AX29" s="92">
        <f t="shared" si="49"/>
        <v>11</v>
      </c>
      <c r="AY29" s="92">
        <f t="shared" si="46"/>
        <v>11</v>
      </c>
      <c r="AZ29" s="92">
        <f t="shared" si="47"/>
        <v>11</v>
      </c>
      <c r="BA29" s="93">
        <f t="shared" si="48"/>
        <v>12</v>
      </c>
    </row>
    <row r="30" spans="1:53" ht="15" thickBot="1" x14ac:dyDescent="0.35">
      <c r="A30" s="140" t="s">
        <v>84</v>
      </c>
      <c r="B30" s="160" t="s">
        <v>145</v>
      </c>
      <c r="C30" s="160">
        <v>43983</v>
      </c>
      <c r="D30" s="163">
        <v>80000</v>
      </c>
      <c r="E30" s="163">
        <v>80000</v>
      </c>
      <c r="F30" s="124">
        <v>24</v>
      </c>
      <c r="G30" s="254">
        <v>144500</v>
      </c>
      <c r="H30" s="163">
        <v>189680</v>
      </c>
      <c r="I30" s="124">
        <v>0</v>
      </c>
      <c r="J30" s="253">
        <v>175700</v>
      </c>
      <c r="K30" s="163">
        <v>198660</v>
      </c>
      <c r="L30" s="124">
        <v>0</v>
      </c>
      <c r="M30" s="163">
        <v>115600</v>
      </c>
      <c r="N30" s="163">
        <v>144200</v>
      </c>
      <c r="O30" s="124">
        <v>0</v>
      </c>
      <c r="P30" s="163">
        <v>79200</v>
      </c>
      <c r="Q30" s="163">
        <v>96700</v>
      </c>
      <c r="R30" s="124">
        <v>0</v>
      </c>
      <c r="S30" s="163">
        <v>32000</v>
      </c>
      <c r="T30" s="163">
        <v>58600</v>
      </c>
      <c r="U30" s="124">
        <v>0</v>
      </c>
      <c r="V30" s="163">
        <v>63900</v>
      </c>
      <c r="W30" s="163">
        <v>111940</v>
      </c>
      <c r="X30" s="124">
        <v>0</v>
      </c>
      <c r="Y30" s="163">
        <v>76000</v>
      </c>
      <c r="Z30" s="163">
        <v>76000</v>
      </c>
      <c r="AA30" s="115">
        <v>31</v>
      </c>
      <c r="AB30" s="163">
        <v>63900</v>
      </c>
      <c r="AC30" s="163">
        <v>63900</v>
      </c>
      <c r="AD30" s="124">
        <v>31</v>
      </c>
      <c r="AE30" s="163">
        <v>36300</v>
      </c>
      <c r="AF30" s="163">
        <v>86900</v>
      </c>
      <c r="AG30" s="126">
        <v>0</v>
      </c>
      <c r="AH30" s="231">
        <f>+Janvier!AJ30</f>
        <v>84811.691250000003</v>
      </c>
      <c r="AI30" s="231">
        <f>+Janvier!AK30</f>
        <v>294602.45192307694</v>
      </c>
      <c r="AJ30" s="231">
        <f>+Janvier!AL30</f>
        <v>196205.23298076927</v>
      </c>
      <c r="AK30" s="231">
        <f>+Janvier!AM30</f>
        <v>196205.23298076927</v>
      </c>
      <c r="AL30" s="231">
        <f>+Janvier!AN30</f>
        <v>123733.02980769234</v>
      </c>
      <c r="AM30" s="231">
        <f>+Janvier!AO30</f>
        <v>73650.612980769234</v>
      </c>
      <c r="AN30" s="231">
        <f>+Janvier!AP30</f>
        <v>147301.22596153847</v>
      </c>
      <c r="AO30" s="231">
        <f>+Janvier!AQ30</f>
        <v>73650.612980769234</v>
      </c>
      <c r="AP30" s="231">
        <f>+Janvier!AR30</f>
        <v>73650.612980769234</v>
      </c>
      <c r="AQ30" s="231">
        <f>+Janvier!AS30</f>
        <v>131665.70250000001</v>
      </c>
      <c r="AR30" s="90">
        <f>ROUND(E30/(AH30/15),0)</f>
        <v>14</v>
      </c>
      <c r="AS30" s="90">
        <f t="shared" ref="AS30" si="50">ROUND(H30/(AI30/15),0)</f>
        <v>10</v>
      </c>
      <c r="AT30" s="90">
        <f t="shared" ref="AT30" si="51">ROUND(K30/(AJ30/15),0)</f>
        <v>15</v>
      </c>
      <c r="AU30" s="90">
        <f t="shared" ref="AU30" si="52">ROUND(N30/(AK30/15),0)</f>
        <v>11</v>
      </c>
      <c r="AV30" s="90">
        <f t="shared" ref="AV30" si="53">ROUND(Q30/(AL30/15),0)</f>
        <v>12</v>
      </c>
      <c r="AW30" s="90">
        <f t="shared" ref="AW30" si="54">ROUND(T30/(AM30/15),0)</f>
        <v>12</v>
      </c>
      <c r="AX30" s="90">
        <f t="shared" ref="AX30" si="55">ROUND(W30/(AN30/15),0)</f>
        <v>11</v>
      </c>
      <c r="AY30" s="90">
        <f t="shared" ref="AY30" si="56">ROUND(Z30/(AO30/15),0)</f>
        <v>15</v>
      </c>
      <c r="AZ30" s="90">
        <f t="shared" ref="AZ30" si="57">ROUND(AC30/(AP30/15),0)</f>
        <v>13</v>
      </c>
      <c r="BA30" s="91">
        <f t="shared" ref="BA30" si="58">ROUND(AF30/(AQ30/15),0)</f>
        <v>10</v>
      </c>
    </row>
    <row r="31" spans="1:53" ht="15" thickBot="1" x14ac:dyDescent="0.35">
      <c r="A31" s="184" t="s">
        <v>35</v>
      </c>
      <c r="B31" s="160" t="s">
        <v>144</v>
      </c>
      <c r="C31" s="94">
        <v>43982</v>
      </c>
      <c r="D31" s="106">
        <v>160</v>
      </c>
      <c r="E31" s="106">
        <v>0</v>
      </c>
      <c r="F31" s="97">
        <v>20</v>
      </c>
      <c r="G31" s="116">
        <v>7360</v>
      </c>
      <c r="H31" s="106">
        <v>2660</v>
      </c>
      <c r="I31" s="97">
        <v>0</v>
      </c>
      <c r="J31" s="236">
        <v>5260</v>
      </c>
      <c r="K31" s="106">
        <v>1550</v>
      </c>
      <c r="L31" s="97">
        <v>0</v>
      </c>
      <c r="M31" s="106">
        <v>5320</v>
      </c>
      <c r="N31" s="106">
        <v>1840</v>
      </c>
      <c r="O31" s="97">
        <v>0</v>
      </c>
      <c r="P31" s="106">
        <v>3356</v>
      </c>
      <c r="Q31" s="106">
        <v>1262</v>
      </c>
      <c r="R31" s="97">
        <v>0</v>
      </c>
      <c r="S31" s="106">
        <v>1930</v>
      </c>
      <c r="T31" s="106">
        <v>850</v>
      </c>
      <c r="U31" s="97">
        <v>0</v>
      </c>
      <c r="V31" s="106">
        <v>4310</v>
      </c>
      <c r="W31" s="106">
        <v>2120</v>
      </c>
      <c r="X31" s="97">
        <v>0</v>
      </c>
      <c r="Y31" s="106">
        <v>240</v>
      </c>
      <c r="Z31" s="106">
        <v>0</v>
      </c>
      <c r="AA31" s="100">
        <v>25</v>
      </c>
      <c r="AB31" s="106">
        <v>0</v>
      </c>
      <c r="AC31" s="106">
        <v>0</v>
      </c>
      <c r="AD31" s="97">
        <v>31</v>
      </c>
      <c r="AE31" s="106">
        <v>3760</v>
      </c>
      <c r="AF31" s="106">
        <v>1840</v>
      </c>
      <c r="AG31" s="105">
        <v>0</v>
      </c>
      <c r="AH31" s="231">
        <f>+Janvier!AJ31</f>
        <v>2028.8324175824175</v>
      </c>
      <c r="AI31" s="231">
        <f>+Janvier!AK31</f>
        <v>6311.9230769230771</v>
      </c>
      <c r="AJ31" s="231">
        <f>+Janvier!AL31</f>
        <v>4733.9423076923076</v>
      </c>
      <c r="AK31" s="231">
        <f>+Janvier!AM31</f>
        <v>4733.9423076923076</v>
      </c>
      <c r="AL31" s="231">
        <f>+Janvier!AN31</f>
        <v>2869.0559440559441</v>
      </c>
      <c r="AM31" s="231">
        <f>+Janvier!AO31</f>
        <v>1775.2283653846155</v>
      </c>
      <c r="AN31" s="231">
        <f>+Janvier!AP31</f>
        <v>3550.4567307692309</v>
      </c>
      <c r="AO31" s="231">
        <f>+Janvier!AQ31</f>
        <v>1775.2283653846155</v>
      </c>
      <c r="AP31" s="231">
        <f>+Janvier!AR31</f>
        <v>1775.2283653846155</v>
      </c>
      <c r="AQ31" s="231">
        <f>+Janvier!AS31</f>
        <v>3155.9615384615386</v>
      </c>
      <c r="AR31" s="16">
        <f t="shared" ref="AR31:AR39" si="59">ROUND(E31/(AH31/5),0)</f>
        <v>0</v>
      </c>
      <c r="AS31" s="16">
        <f t="shared" ref="AS31:AS39" si="60">ROUND(H31/(AI31/5),0)</f>
        <v>2</v>
      </c>
      <c r="AT31" s="16">
        <f t="shared" ref="AT31:AT39" si="61">ROUND(K31/(AJ31/5),0)</f>
        <v>2</v>
      </c>
      <c r="AU31" s="16">
        <f t="shared" ref="AU31:AU39" si="62">ROUND(N31/(AK31/5),0)</f>
        <v>2</v>
      </c>
      <c r="AV31" s="16">
        <f t="shared" ref="AV31:AV39" si="63">ROUND(Q31/(AL31/5),0)</f>
        <v>2</v>
      </c>
      <c r="AW31" s="16">
        <f t="shared" ref="AW31:AW39" si="64">ROUND(T31/(AM31/5),0)</f>
        <v>2</v>
      </c>
      <c r="AX31" s="16">
        <f t="shared" ref="AX31:AX39" si="65">ROUND(W31/(AN31/5),0)</f>
        <v>3</v>
      </c>
      <c r="AY31" s="16">
        <f t="shared" ref="AY31:AY39" si="66">ROUND(Z31/(AO31/5),0)</f>
        <v>0</v>
      </c>
      <c r="AZ31" s="16">
        <f t="shared" ref="AZ31:AZ39" si="67">ROUND(AC31/(AP31/5),0)</f>
        <v>0</v>
      </c>
      <c r="BA31" s="17">
        <f t="shared" ref="BA31:BA39" si="68">ROUND(AF31/(AQ31/5),0)</f>
        <v>3</v>
      </c>
    </row>
    <row r="32" spans="1:53" ht="15" thickBot="1" x14ac:dyDescent="0.35">
      <c r="A32" s="184" t="s">
        <v>36</v>
      </c>
      <c r="B32" s="160" t="s">
        <v>144</v>
      </c>
      <c r="C32" s="94">
        <v>43982</v>
      </c>
      <c r="D32" s="106">
        <v>1000</v>
      </c>
      <c r="E32" s="96">
        <v>520</v>
      </c>
      <c r="F32" s="97">
        <v>0</v>
      </c>
      <c r="G32" s="116">
        <v>3000</v>
      </c>
      <c r="H32" s="96">
        <v>600</v>
      </c>
      <c r="I32" s="97">
        <v>0</v>
      </c>
      <c r="J32" s="236">
        <v>2000</v>
      </c>
      <c r="K32" s="96">
        <v>770</v>
      </c>
      <c r="L32" s="97">
        <v>0</v>
      </c>
      <c r="M32" s="106">
        <v>2000</v>
      </c>
      <c r="N32" s="96">
        <v>924</v>
      </c>
      <c r="O32" s="97">
        <v>0</v>
      </c>
      <c r="P32" s="106">
        <v>1500</v>
      </c>
      <c r="Q32" s="96">
        <v>800</v>
      </c>
      <c r="R32" s="97">
        <v>0</v>
      </c>
      <c r="S32" s="106">
        <v>700</v>
      </c>
      <c r="T32" s="96">
        <v>420</v>
      </c>
      <c r="U32" s="97">
        <v>0</v>
      </c>
      <c r="V32" s="106">
        <v>2000</v>
      </c>
      <c r="W32" s="96">
        <v>890</v>
      </c>
      <c r="X32" s="97">
        <v>0</v>
      </c>
      <c r="Y32" s="106">
        <v>0</v>
      </c>
      <c r="Z32" s="96">
        <v>0</v>
      </c>
      <c r="AA32" s="100">
        <v>28</v>
      </c>
      <c r="AB32" s="106">
        <v>0</v>
      </c>
      <c r="AC32" s="96">
        <v>0</v>
      </c>
      <c r="AD32" s="97">
        <v>31</v>
      </c>
      <c r="AE32" s="106">
        <v>1500</v>
      </c>
      <c r="AF32" s="96">
        <v>440</v>
      </c>
      <c r="AG32" s="105">
        <v>0</v>
      </c>
      <c r="AH32" s="231">
        <f>+Janvier!AJ32</f>
        <v>431.0851648351649</v>
      </c>
      <c r="AI32" s="231">
        <f>+Janvier!AK32</f>
        <v>1341.1538461538464</v>
      </c>
      <c r="AJ32" s="231">
        <f>+Janvier!AL32</f>
        <v>1005.8653846153848</v>
      </c>
      <c r="AK32" s="231">
        <f>+Janvier!AM32</f>
        <v>1005.8653846153848</v>
      </c>
      <c r="AL32" s="231">
        <f>+Janvier!AN32</f>
        <v>609.61538461538464</v>
      </c>
      <c r="AM32" s="231">
        <f>+Janvier!AO32</f>
        <v>377.19951923076917</v>
      </c>
      <c r="AN32" s="231">
        <f>+Janvier!AP32</f>
        <v>754.39903846153834</v>
      </c>
      <c r="AO32" s="231">
        <f>+Janvier!AQ32</f>
        <v>377.19951923076917</v>
      </c>
      <c r="AP32" s="231">
        <f>+Janvier!AR32</f>
        <v>377.19951923076917</v>
      </c>
      <c r="AQ32" s="231">
        <f>+Janvier!AS32</f>
        <v>670.57692307692321</v>
      </c>
      <c r="AR32" s="16">
        <f t="shared" si="59"/>
        <v>6</v>
      </c>
      <c r="AS32" s="16">
        <f t="shared" si="60"/>
        <v>2</v>
      </c>
      <c r="AT32" s="16">
        <f t="shared" si="61"/>
        <v>4</v>
      </c>
      <c r="AU32" s="16">
        <f t="shared" si="62"/>
        <v>5</v>
      </c>
      <c r="AV32" s="16">
        <f t="shared" si="63"/>
        <v>7</v>
      </c>
      <c r="AW32" s="16">
        <f t="shared" si="64"/>
        <v>6</v>
      </c>
      <c r="AX32" s="16">
        <f t="shared" si="65"/>
        <v>6</v>
      </c>
      <c r="AY32" s="16">
        <f t="shared" si="66"/>
        <v>0</v>
      </c>
      <c r="AZ32" s="16">
        <f t="shared" si="67"/>
        <v>0</v>
      </c>
      <c r="BA32" s="17">
        <f t="shared" si="68"/>
        <v>3</v>
      </c>
    </row>
    <row r="33" spans="1:53" ht="15" thickBot="1" x14ac:dyDescent="0.35">
      <c r="A33" s="184" t="s">
        <v>37</v>
      </c>
      <c r="B33" s="160" t="s">
        <v>144</v>
      </c>
      <c r="C33" s="94">
        <v>43982</v>
      </c>
      <c r="D33" s="106">
        <v>4820</v>
      </c>
      <c r="E33" s="106">
        <v>680</v>
      </c>
      <c r="F33" s="97">
        <v>0</v>
      </c>
      <c r="G33" s="116">
        <v>18280</v>
      </c>
      <c r="H33" s="106">
        <v>7380</v>
      </c>
      <c r="I33" s="97">
        <v>0</v>
      </c>
      <c r="J33" s="236">
        <v>13360</v>
      </c>
      <c r="K33" s="106">
        <v>5040</v>
      </c>
      <c r="L33" s="97">
        <v>0</v>
      </c>
      <c r="M33" s="106">
        <v>13512</v>
      </c>
      <c r="N33" s="106">
        <v>3688</v>
      </c>
      <c r="O33" s="97">
        <v>0</v>
      </c>
      <c r="P33" s="106">
        <v>9214</v>
      </c>
      <c r="Q33" s="106">
        <v>2992</v>
      </c>
      <c r="R33" s="97">
        <v>0</v>
      </c>
      <c r="S33" s="106">
        <v>4750</v>
      </c>
      <c r="T33" s="106">
        <v>1600</v>
      </c>
      <c r="U33" s="97">
        <v>0</v>
      </c>
      <c r="V33" s="106">
        <v>8660</v>
      </c>
      <c r="W33" s="106">
        <v>4470</v>
      </c>
      <c r="X33" s="97">
        <v>0</v>
      </c>
      <c r="Y33" s="106">
        <v>1390</v>
      </c>
      <c r="Z33" s="106">
        <v>0</v>
      </c>
      <c r="AA33" s="100">
        <v>20</v>
      </c>
      <c r="AB33" s="106">
        <v>0</v>
      </c>
      <c r="AC33" s="106">
        <v>0</v>
      </c>
      <c r="AD33" s="97">
        <v>31</v>
      </c>
      <c r="AE33" s="106">
        <v>9390</v>
      </c>
      <c r="AF33" s="106">
        <v>3210</v>
      </c>
      <c r="AG33" s="105">
        <v>0</v>
      </c>
      <c r="AH33" s="231">
        <f>+Janvier!AJ33</f>
        <v>5199.2307692307695</v>
      </c>
      <c r="AI33" s="231">
        <f>+Janvier!AK33</f>
        <v>16175.384615384613</v>
      </c>
      <c r="AJ33" s="231">
        <f>+Janvier!AL33</f>
        <v>12131.538461538461</v>
      </c>
      <c r="AK33" s="231">
        <f>+Janvier!AM33</f>
        <v>12131.538461538461</v>
      </c>
      <c r="AL33" s="231">
        <f>+Janvier!AN33</f>
        <v>7352.4475524475547</v>
      </c>
      <c r="AM33" s="231">
        <f>+Janvier!AO33</f>
        <v>4549.3269230769229</v>
      </c>
      <c r="AN33" s="231">
        <f>+Janvier!AP33</f>
        <v>9098.6538461538457</v>
      </c>
      <c r="AO33" s="231">
        <f>+Janvier!AQ33</f>
        <v>4549.3269230769229</v>
      </c>
      <c r="AP33" s="231">
        <f>+Janvier!AR33</f>
        <v>4549.3269230769229</v>
      </c>
      <c r="AQ33" s="231">
        <f>+Janvier!AS33</f>
        <v>8087.6923076923067</v>
      </c>
      <c r="AR33" s="16">
        <f t="shared" si="59"/>
        <v>1</v>
      </c>
      <c r="AS33" s="16">
        <f t="shared" si="60"/>
        <v>2</v>
      </c>
      <c r="AT33" s="16">
        <f t="shared" si="61"/>
        <v>2</v>
      </c>
      <c r="AU33" s="16">
        <f t="shared" si="62"/>
        <v>2</v>
      </c>
      <c r="AV33" s="16">
        <f t="shared" si="63"/>
        <v>2</v>
      </c>
      <c r="AW33" s="16">
        <f t="shared" si="64"/>
        <v>2</v>
      </c>
      <c r="AX33" s="16">
        <f t="shared" si="65"/>
        <v>2</v>
      </c>
      <c r="AY33" s="16">
        <f t="shared" si="66"/>
        <v>0</v>
      </c>
      <c r="AZ33" s="16">
        <f t="shared" si="67"/>
        <v>0</v>
      </c>
      <c r="BA33" s="17">
        <f t="shared" si="68"/>
        <v>2</v>
      </c>
    </row>
    <row r="34" spans="1:53" ht="15" thickBot="1" x14ac:dyDescent="0.35">
      <c r="A34" s="184" t="s">
        <v>38</v>
      </c>
      <c r="B34" s="160" t="s">
        <v>144</v>
      </c>
      <c r="C34" s="94">
        <v>43982</v>
      </c>
      <c r="D34" s="106">
        <v>1200</v>
      </c>
      <c r="E34" s="106">
        <v>0</v>
      </c>
      <c r="F34" s="97">
        <v>4</v>
      </c>
      <c r="G34" s="116">
        <v>6000</v>
      </c>
      <c r="H34" s="106">
        <v>3260</v>
      </c>
      <c r="I34" s="97">
        <v>0</v>
      </c>
      <c r="J34" s="236">
        <v>3810</v>
      </c>
      <c r="K34" s="106">
        <v>2610</v>
      </c>
      <c r="L34" s="97">
        <v>0</v>
      </c>
      <c r="M34" s="106">
        <v>3076</v>
      </c>
      <c r="N34" s="106">
        <v>2356</v>
      </c>
      <c r="O34" s="97">
        <v>0</v>
      </c>
      <c r="P34" s="106">
        <v>2600</v>
      </c>
      <c r="Q34" s="106">
        <v>1565</v>
      </c>
      <c r="R34" s="97">
        <v>0</v>
      </c>
      <c r="S34" s="106">
        <v>1800</v>
      </c>
      <c r="T34" s="106">
        <v>920</v>
      </c>
      <c r="U34" s="97">
        <v>0</v>
      </c>
      <c r="V34" s="106">
        <v>2260</v>
      </c>
      <c r="W34" s="106">
        <v>1670</v>
      </c>
      <c r="X34" s="97">
        <v>0</v>
      </c>
      <c r="Y34" s="106">
        <v>0</v>
      </c>
      <c r="Z34" s="106">
        <v>0</v>
      </c>
      <c r="AA34" s="100">
        <v>30</v>
      </c>
      <c r="AB34" s="106">
        <v>0</v>
      </c>
      <c r="AC34" s="106">
        <v>0</v>
      </c>
      <c r="AD34" s="97">
        <v>31</v>
      </c>
      <c r="AE34" s="106">
        <v>2500</v>
      </c>
      <c r="AF34" s="106">
        <v>1960</v>
      </c>
      <c r="AG34" s="105">
        <v>0</v>
      </c>
      <c r="AH34" s="231">
        <f>+Janvier!AJ34</f>
        <v>1323.9148351648353</v>
      </c>
      <c r="AI34" s="231">
        <f>+Janvier!AK34</f>
        <v>4118.8461538461534</v>
      </c>
      <c r="AJ34" s="231">
        <f>+Janvier!AL34</f>
        <v>3089.1346153846152</v>
      </c>
      <c r="AK34" s="231">
        <f>+Janvier!AM34</f>
        <v>3089.1346153846152</v>
      </c>
      <c r="AL34" s="231">
        <f>+Janvier!AN34</f>
        <v>1872.2027972027972</v>
      </c>
      <c r="AM34" s="231">
        <f>+Janvier!AO34</f>
        <v>1158.4254807692307</v>
      </c>
      <c r="AN34" s="231">
        <f>+Janvier!AP34</f>
        <v>2316.8509615384614</v>
      </c>
      <c r="AO34" s="231">
        <f>+Janvier!AQ34</f>
        <v>1158.4254807692307</v>
      </c>
      <c r="AP34" s="231">
        <f>+Janvier!AR34</f>
        <v>1158.4254807692307</v>
      </c>
      <c r="AQ34" s="231">
        <f>+Janvier!AS34</f>
        <v>2059.4230769230767</v>
      </c>
      <c r="AR34" s="16">
        <f t="shared" si="59"/>
        <v>0</v>
      </c>
      <c r="AS34" s="16">
        <f t="shared" si="60"/>
        <v>4</v>
      </c>
      <c r="AT34" s="16">
        <f t="shared" si="61"/>
        <v>4</v>
      </c>
      <c r="AU34" s="16">
        <f t="shared" si="62"/>
        <v>4</v>
      </c>
      <c r="AV34" s="16">
        <f t="shared" si="63"/>
        <v>4</v>
      </c>
      <c r="AW34" s="16">
        <f t="shared" si="64"/>
        <v>4</v>
      </c>
      <c r="AX34" s="16">
        <f t="shared" si="65"/>
        <v>4</v>
      </c>
      <c r="AY34" s="16">
        <f t="shared" si="66"/>
        <v>0</v>
      </c>
      <c r="AZ34" s="16">
        <f t="shared" si="67"/>
        <v>0</v>
      </c>
      <c r="BA34" s="17">
        <f t="shared" si="68"/>
        <v>5</v>
      </c>
    </row>
    <row r="35" spans="1:53" ht="15" thickBot="1" x14ac:dyDescent="0.35">
      <c r="A35" s="184" t="s">
        <v>39</v>
      </c>
      <c r="B35" s="160" t="s">
        <v>144</v>
      </c>
      <c r="C35" s="94">
        <v>43982</v>
      </c>
      <c r="D35" s="106">
        <v>6760</v>
      </c>
      <c r="E35" s="106">
        <v>1500</v>
      </c>
      <c r="F35" s="97">
        <v>0</v>
      </c>
      <c r="G35" s="116">
        <v>25220</v>
      </c>
      <c r="H35" s="106">
        <v>5640</v>
      </c>
      <c r="I35" s="97">
        <v>0</v>
      </c>
      <c r="J35" s="236">
        <v>18920</v>
      </c>
      <c r="K35" s="106">
        <v>3440</v>
      </c>
      <c r="L35" s="97">
        <v>0</v>
      </c>
      <c r="M35" s="106">
        <v>18124</v>
      </c>
      <c r="N35" s="106">
        <v>2076</v>
      </c>
      <c r="O35" s="97">
        <v>0</v>
      </c>
      <c r="P35" s="106">
        <v>13000</v>
      </c>
      <c r="Q35" s="106">
        <v>3783</v>
      </c>
      <c r="R35" s="97">
        <v>0</v>
      </c>
      <c r="S35" s="106">
        <v>6840</v>
      </c>
      <c r="T35" s="106">
        <v>1460</v>
      </c>
      <c r="U35" s="97">
        <v>0</v>
      </c>
      <c r="V35" s="106">
        <v>14180</v>
      </c>
      <c r="W35" s="106">
        <v>5180</v>
      </c>
      <c r="X35" s="97">
        <v>0</v>
      </c>
      <c r="Y35" s="106">
        <v>3250</v>
      </c>
      <c r="Z35" s="106">
        <v>0</v>
      </c>
      <c r="AA35" s="100">
        <v>20</v>
      </c>
      <c r="AB35" s="106">
        <v>0</v>
      </c>
      <c r="AC35" s="106">
        <v>0</v>
      </c>
      <c r="AD35" s="97">
        <v>31</v>
      </c>
      <c r="AE35" s="106">
        <v>11780</v>
      </c>
      <c r="AF35" s="106">
        <v>4160</v>
      </c>
      <c r="AG35" s="105">
        <v>0</v>
      </c>
      <c r="AH35" s="231">
        <f>+Janvier!AJ35</f>
        <v>4319.1346153846152</v>
      </c>
      <c r="AI35" s="231">
        <f>+Janvier!AK35</f>
        <v>13437.307692307693</v>
      </c>
      <c r="AJ35" s="231">
        <f>+Janvier!AL35</f>
        <v>10077.98076923077</v>
      </c>
      <c r="AK35" s="231">
        <f>+Janvier!AM35</f>
        <v>10077.98076923077</v>
      </c>
      <c r="AL35" s="231">
        <f>+Janvier!AN35</f>
        <v>6107.8671328671326</v>
      </c>
      <c r="AM35" s="231">
        <f>+Janvier!AO35</f>
        <v>3779.2427884615386</v>
      </c>
      <c r="AN35" s="231">
        <f>+Janvier!AP35</f>
        <v>7558.4855769230771</v>
      </c>
      <c r="AO35" s="231">
        <f>+Janvier!AQ35</f>
        <v>3779.2427884615386</v>
      </c>
      <c r="AP35" s="231">
        <f>+Janvier!AR35</f>
        <v>3779.2427884615386</v>
      </c>
      <c r="AQ35" s="231">
        <f>+Janvier!AS35</f>
        <v>6718.6538461538466</v>
      </c>
      <c r="AR35" s="16">
        <f t="shared" si="59"/>
        <v>2</v>
      </c>
      <c r="AS35" s="16">
        <f t="shared" si="60"/>
        <v>2</v>
      </c>
      <c r="AT35" s="16">
        <f t="shared" si="61"/>
        <v>2</v>
      </c>
      <c r="AU35" s="16">
        <f t="shared" si="62"/>
        <v>1</v>
      </c>
      <c r="AV35" s="16">
        <f t="shared" si="63"/>
        <v>3</v>
      </c>
      <c r="AW35" s="16">
        <f t="shared" si="64"/>
        <v>2</v>
      </c>
      <c r="AX35" s="16">
        <f t="shared" si="65"/>
        <v>3</v>
      </c>
      <c r="AY35" s="16">
        <f t="shared" si="66"/>
        <v>0</v>
      </c>
      <c r="AZ35" s="16">
        <f t="shared" si="67"/>
        <v>0</v>
      </c>
      <c r="BA35" s="17">
        <f t="shared" si="68"/>
        <v>3</v>
      </c>
    </row>
    <row r="36" spans="1:53" ht="15" thickBot="1" x14ac:dyDescent="0.35">
      <c r="A36" s="184" t="s">
        <v>40</v>
      </c>
      <c r="B36" s="160" t="s">
        <v>144</v>
      </c>
      <c r="C36" s="94">
        <v>43982</v>
      </c>
      <c r="D36" s="106">
        <v>2400</v>
      </c>
      <c r="E36" s="106">
        <v>960</v>
      </c>
      <c r="F36" s="97">
        <v>0</v>
      </c>
      <c r="G36" s="116">
        <v>18100</v>
      </c>
      <c r="H36" s="106">
        <v>9600</v>
      </c>
      <c r="I36" s="97">
        <v>0</v>
      </c>
      <c r="J36" s="236">
        <v>12070</v>
      </c>
      <c r="K36" s="106">
        <v>5310</v>
      </c>
      <c r="L36" s="97">
        <v>0</v>
      </c>
      <c r="M36" s="106">
        <v>11984</v>
      </c>
      <c r="N36" s="106">
        <v>6184</v>
      </c>
      <c r="O36" s="97">
        <v>0</v>
      </c>
      <c r="P36" s="106">
        <v>9350</v>
      </c>
      <c r="Q36" s="106">
        <v>4700</v>
      </c>
      <c r="R36" s="97">
        <v>0</v>
      </c>
      <c r="S36" s="106">
        <v>5100</v>
      </c>
      <c r="T36" s="106">
        <v>2470</v>
      </c>
      <c r="U36" s="97">
        <v>0</v>
      </c>
      <c r="V36" s="106">
        <v>11820</v>
      </c>
      <c r="W36" s="106">
        <v>5760</v>
      </c>
      <c r="X36" s="97">
        <v>0</v>
      </c>
      <c r="Y36" s="106">
        <v>1220</v>
      </c>
      <c r="Z36" s="106">
        <v>1180</v>
      </c>
      <c r="AA36" s="100">
        <v>0</v>
      </c>
      <c r="AB36" s="106">
        <v>0</v>
      </c>
      <c r="AC36" s="106">
        <v>0</v>
      </c>
      <c r="AD36" s="97">
        <v>31</v>
      </c>
      <c r="AE36" s="106">
        <v>9730</v>
      </c>
      <c r="AF36" s="106">
        <v>5350</v>
      </c>
      <c r="AG36" s="105">
        <v>0</v>
      </c>
      <c r="AH36" s="231">
        <f>+Janvier!AJ36</f>
        <v>3701.7445054945065</v>
      </c>
      <c r="AI36" s="231">
        <f>+Janvier!AK36</f>
        <v>11516.538461538461</v>
      </c>
      <c r="AJ36" s="231">
        <f>+Janvier!AL36</f>
        <v>8637.4038461538476</v>
      </c>
      <c r="AK36" s="231">
        <f>+Janvier!AM36</f>
        <v>8637.4038461538476</v>
      </c>
      <c r="AL36" s="231">
        <f>+Janvier!AN36</f>
        <v>5234.7902097902097</v>
      </c>
      <c r="AM36" s="231">
        <f>+Janvier!AO36</f>
        <v>3239.0264423076924</v>
      </c>
      <c r="AN36" s="231">
        <f>+Janvier!AP36</f>
        <v>6478.0528846153848</v>
      </c>
      <c r="AO36" s="231">
        <f>+Janvier!AQ36</f>
        <v>3239.0264423076924</v>
      </c>
      <c r="AP36" s="231">
        <f>+Janvier!AR36</f>
        <v>3239.0264423076924</v>
      </c>
      <c r="AQ36" s="231">
        <f>+Janvier!AS36</f>
        <v>5758.2692307692305</v>
      </c>
      <c r="AR36" s="16">
        <f t="shared" si="59"/>
        <v>1</v>
      </c>
      <c r="AS36" s="16">
        <f t="shared" si="60"/>
        <v>4</v>
      </c>
      <c r="AT36" s="16">
        <f t="shared" si="61"/>
        <v>3</v>
      </c>
      <c r="AU36" s="16">
        <f t="shared" si="62"/>
        <v>4</v>
      </c>
      <c r="AV36" s="16">
        <f t="shared" si="63"/>
        <v>4</v>
      </c>
      <c r="AW36" s="16">
        <f t="shared" si="64"/>
        <v>4</v>
      </c>
      <c r="AX36" s="16">
        <f t="shared" si="65"/>
        <v>4</v>
      </c>
      <c r="AY36" s="16">
        <f t="shared" si="66"/>
        <v>2</v>
      </c>
      <c r="AZ36" s="16">
        <f t="shared" si="67"/>
        <v>0</v>
      </c>
      <c r="BA36" s="17">
        <f t="shared" si="68"/>
        <v>5</v>
      </c>
    </row>
    <row r="37" spans="1:53" ht="15" thickBot="1" x14ac:dyDescent="0.35">
      <c r="A37" s="184" t="s">
        <v>41</v>
      </c>
      <c r="B37" s="160" t="s">
        <v>144</v>
      </c>
      <c r="C37" s="94">
        <v>43982</v>
      </c>
      <c r="D37" s="106">
        <v>3580</v>
      </c>
      <c r="E37" s="106">
        <v>2000</v>
      </c>
      <c r="F37" s="97">
        <v>0</v>
      </c>
      <c r="G37" s="116">
        <v>7680</v>
      </c>
      <c r="H37" s="106">
        <v>4200</v>
      </c>
      <c r="I37" s="97">
        <v>0</v>
      </c>
      <c r="J37" s="236">
        <v>5400</v>
      </c>
      <c r="K37" s="106">
        <v>3290</v>
      </c>
      <c r="L37" s="97">
        <v>0</v>
      </c>
      <c r="M37" s="106">
        <v>5148</v>
      </c>
      <c r="N37" s="106">
        <v>3400</v>
      </c>
      <c r="O37" s="97">
        <v>0</v>
      </c>
      <c r="P37" s="106">
        <v>3500</v>
      </c>
      <c r="Q37" s="106">
        <v>2100</v>
      </c>
      <c r="R37" s="97">
        <v>0</v>
      </c>
      <c r="S37" s="106">
        <v>1650</v>
      </c>
      <c r="T37" s="106">
        <v>860</v>
      </c>
      <c r="U37" s="97">
        <v>0</v>
      </c>
      <c r="V37" s="106">
        <v>4530</v>
      </c>
      <c r="W37" s="106">
        <v>3650</v>
      </c>
      <c r="X37" s="97">
        <v>0</v>
      </c>
      <c r="Y37" s="106">
        <v>690</v>
      </c>
      <c r="Z37" s="106">
        <v>220</v>
      </c>
      <c r="AA37" s="100">
        <v>0</v>
      </c>
      <c r="AB37" s="106">
        <v>0</v>
      </c>
      <c r="AC37" s="106">
        <v>0</v>
      </c>
      <c r="AD37" s="97">
        <v>31</v>
      </c>
      <c r="AE37" s="106">
        <v>3900</v>
      </c>
      <c r="AF37" s="106">
        <v>3130</v>
      </c>
      <c r="AG37" s="105">
        <v>0</v>
      </c>
      <c r="AH37" s="231">
        <f>+Janvier!AJ37</f>
        <v>2204.0109890109893</v>
      </c>
      <c r="AI37" s="231">
        <f>+Janvier!AK37</f>
        <v>6856.9230769230771</v>
      </c>
      <c r="AJ37" s="231">
        <f>+Janvier!AL37</f>
        <v>5142.6923076923085</v>
      </c>
      <c r="AK37" s="231">
        <f>+Janvier!AM37</f>
        <v>5142.6923076923085</v>
      </c>
      <c r="AL37" s="231">
        <f>+Janvier!AN37</f>
        <v>3116.7832167832171</v>
      </c>
      <c r="AM37" s="231">
        <f>+Janvier!AO37</f>
        <v>1928.5096153846155</v>
      </c>
      <c r="AN37" s="231">
        <f>+Janvier!AP37</f>
        <v>3857.0192307692309</v>
      </c>
      <c r="AO37" s="231">
        <f>+Janvier!AQ37</f>
        <v>1928.5096153846155</v>
      </c>
      <c r="AP37" s="231">
        <f>+Janvier!AR37</f>
        <v>1928.5096153846155</v>
      </c>
      <c r="AQ37" s="231">
        <f>+Janvier!AS37</f>
        <v>3428.4615384615386</v>
      </c>
      <c r="AR37" s="16">
        <f t="shared" si="59"/>
        <v>5</v>
      </c>
      <c r="AS37" s="16">
        <f t="shared" si="60"/>
        <v>3</v>
      </c>
      <c r="AT37" s="16">
        <f t="shared" si="61"/>
        <v>3</v>
      </c>
      <c r="AU37" s="16">
        <f t="shared" si="62"/>
        <v>3</v>
      </c>
      <c r="AV37" s="16">
        <f t="shared" si="63"/>
        <v>3</v>
      </c>
      <c r="AW37" s="16">
        <f t="shared" si="64"/>
        <v>2</v>
      </c>
      <c r="AX37" s="16">
        <f t="shared" si="65"/>
        <v>5</v>
      </c>
      <c r="AY37" s="16">
        <f t="shared" si="66"/>
        <v>1</v>
      </c>
      <c r="AZ37" s="16">
        <f t="shared" si="67"/>
        <v>0</v>
      </c>
      <c r="BA37" s="17">
        <f t="shared" si="68"/>
        <v>5</v>
      </c>
    </row>
    <row r="38" spans="1:53" ht="15" thickBot="1" x14ac:dyDescent="0.35">
      <c r="A38" s="184" t="s">
        <v>42</v>
      </c>
      <c r="B38" s="160" t="s">
        <v>144</v>
      </c>
      <c r="C38" s="94">
        <v>43982</v>
      </c>
      <c r="D38" s="106">
        <v>5020</v>
      </c>
      <c r="E38" s="106">
        <v>580</v>
      </c>
      <c r="F38" s="97">
        <v>0</v>
      </c>
      <c r="G38" s="116">
        <v>16320</v>
      </c>
      <c r="H38" s="106">
        <v>5660</v>
      </c>
      <c r="I38" s="97">
        <v>0</v>
      </c>
      <c r="J38" s="236">
        <v>11940</v>
      </c>
      <c r="K38" s="106">
        <v>4740</v>
      </c>
      <c r="L38" s="97">
        <v>0</v>
      </c>
      <c r="M38" s="106">
        <v>11760</v>
      </c>
      <c r="N38" s="106">
        <v>3800</v>
      </c>
      <c r="O38" s="97">
        <v>0</v>
      </c>
      <c r="P38" s="106">
        <v>8000</v>
      </c>
      <c r="Q38" s="106">
        <v>1650</v>
      </c>
      <c r="R38" s="97">
        <v>0</v>
      </c>
      <c r="S38" s="106">
        <v>4060</v>
      </c>
      <c r="T38" s="106">
        <v>1170</v>
      </c>
      <c r="U38" s="97">
        <v>0</v>
      </c>
      <c r="V38" s="106">
        <v>8960</v>
      </c>
      <c r="W38" s="106">
        <v>4450</v>
      </c>
      <c r="X38" s="97">
        <v>0</v>
      </c>
      <c r="Y38" s="106">
        <v>4470</v>
      </c>
      <c r="Z38" s="106">
        <v>540</v>
      </c>
      <c r="AA38" s="100">
        <v>0</v>
      </c>
      <c r="AB38" s="106">
        <v>0</v>
      </c>
      <c r="AC38" s="106">
        <v>0</v>
      </c>
      <c r="AD38" s="97">
        <v>31</v>
      </c>
      <c r="AE38" s="106">
        <v>7060</v>
      </c>
      <c r="AF38" s="106">
        <v>2780</v>
      </c>
      <c r="AG38" s="105">
        <v>0</v>
      </c>
      <c r="AH38" s="231">
        <f>+Janvier!AJ38</f>
        <v>4595.1923076923076</v>
      </c>
      <c r="AI38" s="231">
        <f>+Janvier!AK38</f>
        <v>14296.153846153846</v>
      </c>
      <c r="AJ38" s="231">
        <f>+Janvier!AL38</f>
        <v>10722.115384615387</v>
      </c>
      <c r="AK38" s="231">
        <f>+Janvier!AM38</f>
        <v>10722.115384615387</v>
      </c>
      <c r="AL38" s="231">
        <f>+Janvier!AN38</f>
        <v>6498.2517482517496</v>
      </c>
      <c r="AM38" s="231">
        <f>+Janvier!AO38</f>
        <v>4020.7932692307691</v>
      </c>
      <c r="AN38" s="231">
        <f>+Janvier!AP38</f>
        <v>8041.5865384615381</v>
      </c>
      <c r="AO38" s="231">
        <f>+Janvier!AQ38</f>
        <v>4020.7932692307691</v>
      </c>
      <c r="AP38" s="231">
        <f>+Janvier!AR38</f>
        <v>4020.7932692307691</v>
      </c>
      <c r="AQ38" s="231">
        <f>+Janvier!AS38</f>
        <v>7148.0769230769229</v>
      </c>
      <c r="AR38" s="16">
        <f t="shared" si="59"/>
        <v>1</v>
      </c>
      <c r="AS38" s="16">
        <f t="shared" si="60"/>
        <v>2</v>
      </c>
      <c r="AT38" s="16">
        <f t="shared" si="61"/>
        <v>2</v>
      </c>
      <c r="AU38" s="16">
        <f t="shared" si="62"/>
        <v>2</v>
      </c>
      <c r="AV38" s="16">
        <f t="shared" si="63"/>
        <v>1</v>
      </c>
      <c r="AW38" s="16">
        <f t="shared" si="64"/>
        <v>1</v>
      </c>
      <c r="AX38" s="16">
        <f t="shared" si="65"/>
        <v>3</v>
      </c>
      <c r="AY38" s="16">
        <f t="shared" si="66"/>
        <v>1</v>
      </c>
      <c r="AZ38" s="16">
        <f t="shared" si="67"/>
        <v>0</v>
      </c>
      <c r="BA38" s="17">
        <f t="shared" si="68"/>
        <v>2</v>
      </c>
    </row>
    <row r="39" spans="1:53" ht="15" thickBot="1" x14ac:dyDescent="0.35">
      <c r="A39" s="121" t="s">
        <v>43</v>
      </c>
      <c r="B39" s="160" t="s">
        <v>144</v>
      </c>
      <c r="C39" s="143">
        <v>43982</v>
      </c>
      <c r="D39" s="145">
        <v>1240</v>
      </c>
      <c r="E39" s="145">
        <v>100</v>
      </c>
      <c r="F39" s="110">
        <v>0</v>
      </c>
      <c r="G39" s="147">
        <v>14000</v>
      </c>
      <c r="H39" s="145">
        <v>13540</v>
      </c>
      <c r="I39" s="110">
        <v>0</v>
      </c>
      <c r="J39" s="238">
        <v>9800</v>
      </c>
      <c r="K39" s="145">
        <v>5960</v>
      </c>
      <c r="L39" s="110">
        <v>0</v>
      </c>
      <c r="M39" s="145">
        <v>8800</v>
      </c>
      <c r="N39" s="145">
        <v>5908</v>
      </c>
      <c r="O39" s="110">
        <v>0</v>
      </c>
      <c r="P39" s="145">
        <v>6000</v>
      </c>
      <c r="Q39" s="145">
        <v>3850</v>
      </c>
      <c r="R39" s="110">
        <v>0</v>
      </c>
      <c r="S39" s="145">
        <v>3300</v>
      </c>
      <c r="T39" s="145">
        <v>2010</v>
      </c>
      <c r="U39" s="110">
        <v>0</v>
      </c>
      <c r="V39" s="145">
        <v>7000</v>
      </c>
      <c r="W39" s="145">
        <v>12120</v>
      </c>
      <c r="X39" s="110">
        <v>0</v>
      </c>
      <c r="Y39" s="145">
        <v>2450</v>
      </c>
      <c r="Z39" s="145">
        <v>1150</v>
      </c>
      <c r="AA39" s="162">
        <v>0</v>
      </c>
      <c r="AB39" s="145">
        <v>0</v>
      </c>
      <c r="AC39" s="145">
        <v>0</v>
      </c>
      <c r="AD39" s="110">
        <v>31</v>
      </c>
      <c r="AE39" s="145">
        <v>4300</v>
      </c>
      <c r="AF39" s="145">
        <v>3010</v>
      </c>
      <c r="AG39" s="112">
        <v>0</v>
      </c>
      <c r="AH39" s="231">
        <f>+Janvier!AJ39</f>
        <v>4254.2307692307695</v>
      </c>
      <c r="AI39" s="231">
        <f>+Janvier!AK39</f>
        <v>13235.384615384613</v>
      </c>
      <c r="AJ39" s="231">
        <f>+Janvier!AL39</f>
        <v>9926.538461538461</v>
      </c>
      <c r="AK39" s="231">
        <f>+Janvier!AM39</f>
        <v>9926.538461538461</v>
      </c>
      <c r="AL39" s="231">
        <f>+Janvier!AN39</f>
        <v>6016.0839160839159</v>
      </c>
      <c r="AM39" s="231">
        <f>+Janvier!AO39</f>
        <v>3722.4519230769233</v>
      </c>
      <c r="AN39" s="231">
        <f>+Janvier!AP39</f>
        <v>7444.9038461538466</v>
      </c>
      <c r="AO39" s="231">
        <f>+Janvier!AQ39</f>
        <v>3722.4519230769233</v>
      </c>
      <c r="AP39" s="231">
        <f>+Janvier!AR39</f>
        <v>3722.4519230769233</v>
      </c>
      <c r="AQ39" s="231">
        <f>+Janvier!AS39</f>
        <v>6617.6923076923067</v>
      </c>
      <c r="AR39" s="32">
        <f t="shared" si="59"/>
        <v>0</v>
      </c>
      <c r="AS39" s="32">
        <f t="shared" si="60"/>
        <v>5</v>
      </c>
      <c r="AT39" s="32">
        <f t="shared" si="61"/>
        <v>3</v>
      </c>
      <c r="AU39" s="32">
        <f t="shared" si="62"/>
        <v>3</v>
      </c>
      <c r="AV39" s="32">
        <f t="shared" si="63"/>
        <v>3</v>
      </c>
      <c r="AW39" s="32">
        <f t="shared" si="64"/>
        <v>3</v>
      </c>
      <c r="AX39" s="32">
        <f t="shared" si="65"/>
        <v>8</v>
      </c>
      <c r="AY39" s="32">
        <f t="shared" si="66"/>
        <v>2</v>
      </c>
      <c r="AZ39" s="32">
        <f t="shared" si="67"/>
        <v>0</v>
      </c>
      <c r="BA39" s="33">
        <f t="shared" si="68"/>
        <v>2</v>
      </c>
    </row>
    <row r="40" spans="1:53" ht="15.6" x14ac:dyDescent="0.3">
      <c r="A40" s="198" t="s">
        <v>88</v>
      </c>
      <c r="B40" s="160">
        <v>43952</v>
      </c>
      <c r="C40" s="160">
        <v>43982</v>
      </c>
      <c r="D40" s="122">
        <v>33000</v>
      </c>
      <c r="E40" s="123">
        <v>33120</v>
      </c>
      <c r="F40" s="124">
        <v>0</v>
      </c>
      <c r="G40" s="125">
        <v>108000</v>
      </c>
      <c r="H40" s="123">
        <v>175880</v>
      </c>
      <c r="I40" s="126">
        <v>0</v>
      </c>
      <c r="J40" s="125">
        <v>100000</v>
      </c>
      <c r="K40" s="123">
        <v>95360</v>
      </c>
      <c r="L40" s="124">
        <v>0</v>
      </c>
      <c r="M40" s="125">
        <v>77000</v>
      </c>
      <c r="N40" s="123">
        <v>89064</v>
      </c>
      <c r="O40" s="124">
        <v>0</v>
      </c>
      <c r="P40" s="125">
        <v>48000</v>
      </c>
      <c r="Q40" s="123">
        <v>59754</v>
      </c>
      <c r="R40" s="124">
        <v>0</v>
      </c>
      <c r="S40" s="125">
        <v>25000</v>
      </c>
      <c r="T40" s="123">
        <v>30140</v>
      </c>
      <c r="U40" s="124">
        <v>0</v>
      </c>
      <c r="V40" s="125">
        <v>55000</v>
      </c>
      <c r="W40" s="123">
        <v>91780</v>
      </c>
      <c r="X40" s="124">
        <v>0</v>
      </c>
      <c r="Y40" s="125">
        <v>69600</v>
      </c>
      <c r="Z40" s="123">
        <v>48600</v>
      </c>
      <c r="AA40" s="124">
        <v>30</v>
      </c>
      <c r="AB40" s="125">
        <v>72000</v>
      </c>
      <c r="AC40" s="123">
        <v>32320</v>
      </c>
      <c r="AD40" s="124">
        <v>30</v>
      </c>
      <c r="AE40" s="125">
        <v>33000</v>
      </c>
      <c r="AF40" s="123">
        <v>68330</v>
      </c>
      <c r="AG40" s="126">
        <v>0</v>
      </c>
      <c r="AH40" s="231">
        <f>+Janvier!AJ40</f>
        <v>69601.949999999983</v>
      </c>
      <c r="AI40" s="231">
        <f>+Janvier!AK40</f>
        <v>241304.71153846153</v>
      </c>
      <c r="AJ40" s="231">
        <f>+Janvier!AL40</f>
        <v>160708.93788461541</v>
      </c>
      <c r="AK40" s="231">
        <f>+Janvier!AM40</f>
        <v>160708.93788461541</v>
      </c>
      <c r="AL40" s="231">
        <f>+Janvier!AN40</f>
        <v>101347.97884615386</v>
      </c>
      <c r="AM40" s="231">
        <f>+Janvier!AO40</f>
        <v>60326.177884615383</v>
      </c>
      <c r="AN40" s="231">
        <f>+Janvier!AP40</f>
        <v>120652.35576923077</v>
      </c>
      <c r="AO40" s="231">
        <f>+Janvier!AQ40</f>
        <v>60326.177884615383</v>
      </c>
      <c r="AP40" s="231">
        <f>+Janvier!AR40</f>
        <v>60326.177884615383</v>
      </c>
      <c r="AQ40" s="231">
        <f>+Janvier!AS40</f>
        <v>108053.37692307694</v>
      </c>
      <c r="AR40" s="16">
        <f>ROUND(E40/(AH40/15),0)</f>
        <v>7</v>
      </c>
      <c r="AS40" s="16">
        <f t="shared" ref="AS40" si="69">ROUND(H40/(AI40/15),0)</f>
        <v>11</v>
      </c>
      <c r="AT40" s="16">
        <f t="shared" ref="AT40" si="70">ROUND(K40/(AJ40/15),0)</f>
        <v>9</v>
      </c>
      <c r="AU40" s="16">
        <f t="shared" ref="AU40" si="71">ROUND(N40/(AK40/15),0)</f>
        <v>8</v>
      </c>
      <c r="AV40" s="16">
        <f t="shared" ref="AV40" si="72">ROUND(Q40/(AL40/15),0)</f>
        <v>9</v>
      </c>
      <c r="AW40" s="16">
        <f t="shared" ref="AW40" si="73">ROUND(T40/(AM40/15),0)</f>
        <v>7</v>
      </c>
      <c r="AX40" s="16">
        <f t="shared" ref="AX40" si="74">ROUND(W40/(AN40/15),0)</f>
        <v>11</v>
      </c>
      <c r="AY40" s="16">
        <f t="shared" ref="AY40" si="75">ROUND(Z40/(AO40/15),0)</f>
        <v>12</v>
      </c>
      <c r="AZ40" s="16">
        <f t="shared" ref="AZ40" si="76">ROUND(AC40/(AP40/15),0)</f>
        <v>8</v>
      </c>
      <c r="BA40" s="17">
        <f t="shared" ref="BA40" si="77">ROUND(AF40/(AQ40/15),0)</f>
        <v>9</v>
      </c>
    </row>
    <row r="41" spans="1:53" ht="15.6" x14ac:dyDescent="0.3">
      <c r="A41" s="199" t="s">
        <v>44</v>
      </c>
      <c r="B41" s="94">
        <v>43952</v>
      </c>
      <c r="C41" s="94">
        <v>43982</v>
      </c>
      <c r="D41" s="107">
        <v>1480</v>
      </c>
      <c r="E41" s="96">
        <v>1780</v>
      </c>
      <c r="F41" s="97">
        <v>0</v>
      </c>
      <c r="G41" s="95">
        <v>3840</v>
      </c>
      <c r="H41" s="96">
        <v>5500</v>
      </c>
      <c r="I41" s="105">
        <v>0</v>
      </c>
      <c r="J41" s="95">
        <v>3120</v>
      </c>
      <c r="K41" s="96">
        <v>4130</v>
      </c>
      <c r="L41" s="97">
        <v>0</v>
      </c>
      <c r="M41" s="95">
        <v>3136</v>
      </c>
      <c r="N41" s="96">
        <v>4126</v>
      </c>
      <c r="O41" s="97">
        <v>0</v>
      </c>
      <c r="P41" s="95">
        <v>2173</v>
      </c>
      <c r="Q41" s="96">
        <v>2500</v>
      </c>
      <c r="R41" s="97">
        <v>0</v>
      </c>
      <c r="S41" s="95">
        <v>1380</v>
      </c>
      <c r="T41" s="96">
        <v>1550</v>
      </c>
      <c r="U41" s="97">
        <v>0</v>
      </c>
      <c r="V41" s="95">
        <v>2250</v>
      </c>
      <c r="W41" s="96">
        <v>3010</v>
      </c>
      <c r="X41" s="97">
        <v>0</v>
      </c>
      <c r="Y41" s="95">
        <v>1550</v>
      </c>
      <c r="Z41" s="96">
        <v>1550</v>
      </c>
      <c r="AA41" s="97">
        <v>31</v>
      </c>
      <c r="AB41" s="95">
        <v>1550</v>
      </c>
      <c r="AC41" s="96">
        <v>1550</v>
      </c>
      <c r="AD41" s="97">
        <v>31</v>
      </c>
      <c r="AE41" s="95">
        <v>1970</v>
      </c>
      <c r="AF41" s="96">
        <v>2750</v>
      </c>
      <c r="AG41" s="105">
        <v>0</v>
      </c>
      <c r="AH41" s="231">
        <f>+Janvier!AJ41</f>
        <v>1769.7115384615383</v>
      </c>
      <c r="AI41" s="231">
        <f>+Janvier!AK41</f>
        <v>5505.7692307692305</v>
      </c>
      <c r="AJ41" s="231">
        <f>+Janvier!AL41</f>
        <v>4129.3269230769229</v>
      </c>
      <c r="AK41" s="231">
        <f>+Janvier!AM41</f>
        <v>4129.3269230769229</v>
      </c>
      <c r="AL41" s="231">
        <f>+Janvier!AN41</f>
        <v>2502.6223776223778</v>
      </c>
      <c r="AM41" s="231">
        <f>+Janvier!AO41</f>
        <v>1548.4975961538462</v>
      </c>
      <c r="AN41" s="231">
        <f>+Janvier!AP41</f>
        <v>3096.9951923076924</v>
      </c>
      <c r="AO41" s="231">
        <f>+Janvier!AQ41</f>
        <v>1548.4975961538462</v>
      </c>
      <c r="AP41" s="231">
        <f>+Janvier!AR41</f>
        <v>1548.4975961538462</v>
      </c>
      <c r="AQ41" s="231">
        <f>+Janvier!AS41</f>
        <v>2752.8846153846152</v>
      </c>
      <c r="AR41" s="16">
        <f t="shared" ref="AR41:AR53" si="78">ROUND(E41/(AH41/5),0)</f>
        <v>5</v>
      </c>
      <c r="AS41" s="16">
        <f t="shared" ref="AS41:AS53" si="79">ROUND(H41/(AI41/5),0)</f>
        <v>5</v>
      </c>
      <c r="AT41" s="16">
        <f t="shared" ref="AT41:AT53" si="80">ROUND(K41/(AJ41/5),0)</f>
        <v>5</v>
      </c>
      <c r="AU41" s="16">
        <f t="shared" ref="AU41:AU53" si="81">ROUND(N41/(AK41/5),0)</f>
        <v>5</v>
      </c>
      <c r="AV41" s="16">
        <f t="shared" ref="AV41:AV53" si="82">ROUND(Q41/(AL41/5),0)</f>
        <v>5</v>
      </c>
      <c r="AW41" s="16">
        <f t="shared" ref="AW41:AW53" si="83">ROUND(T41/(AM41/5),0)</f>
        <v>5</v>
      </c>
      <c r="AX41" s="16">
        <f t="shared" ref="AX41:AX53" si="84">ROUND(W41/(AN41/5),0)</f>
        <v>5</v>
      </c>
      <c r="AY41" s="16">
        <f t="shared" ref="AY41:AY53" si="85">ROUND(Z41/(AO41/5),0)</f>
        <v>5</v>
      </c>
      <c r="AZ41" s="16">
        <f t="shared" ref="AZ41:AZ53" si="86">ROUND(AC41/(AP41/5),0)</f>
        <v>5</v>
      </c>
      <c r="BA41" s="17">
        <f t="shared" ref="BA41:BA53" si="87">ROUND(AF41/(AQ41/5),0)</f>
        <v>5</v>
      </c>
    </row>
    <row r="42" spans="1:53" ht="15.6" x14ac:dyDescent="0.3">
      <c r="A42" s="199" t="s">
        <v>45</v>
      </c>
      <c r="B42" s="94">
        <v>43952</v>
      </c>
      <c r="C42" s="94">
        <v>43982</v>
      </c>
      <c r="D42" s="107">
        <v>440</v>
      </c>
      <c r="E42" s="96">
        <v>500</v>
      </c>
      <c r="F42" s="97">
        <v>0</v>
      </c>
      <c r="G42" s="95">
        <v>1130</v>
      </c>
      <c r="H42" s="96">
        <v>1560</v>
      </c>
      <c r="I42" s="105">
        <v>0</v>
      </c>
      <c r="J42" s="95">
        <v>940</v>
      </c>
      <c r="K42" s="96">
        <v>1170</v>
      </c>
      <c r="L42" s="97">
        <v>0</v>
      </c>
      <c r="M42" s="95">
        <v>984</v>
      </c>
      <c r="N42" s="96">
        <v>1164</v>
      </c>
      <c r="O42" s="97">
        <v>0</v>
      </c>
      <c r="P42" s="95">
        <v>604</v>
      </c>
      <c r="Q42" s="96">
        <v>706</v>
      </c>
      <c r="R42" s="97">
        <v>0</v>
      </c>
      <c r="S42" s="95">
        <v>350</v>
      </c>
      <c r="T42" s="96">
        <v>440</v>
      </c>
      <c r="U42" s="97">
        <v>0</v>
      </c>
      <c r="V42" s="95">
        <v>500</v>
      </c>
      <c r="W42" s="96">
        <v>870</v>
      </c>
      <c r="X42" s="97">
        <v>0</v>
      </c>
      <c r="Y42" s="95">
        <v>440</v>
      </c>
      <c r="Z42" s="96">
        <v>440</v>
      </c>
      <c r="AA42" s="97">
        <v>32</v>
      </c>
      <c r="AB42" s="95">
        <v>440</v>
      </c>
      <c r="AC42" s="96">
        <v>440</v>
      </c>
      <c r="AD42" s="97">
        <v>32</v>
      </c>
      <c r="AE42" s="95">
        <v>540</v>
      </c>
      <c r="AF42" s="96">
        <v>780</v>
      </c>
      <c r="AG42" s="105">
        <v>0</v>
      </c>
      <c r="AH42" s="231">
        <f>+Janvier!AJ42</f>
        <v>499.20329670329681</v>
      </c>
      <c r="AI42" s="231">
        <f>+Janvier!AK42</f>
        <v>1553.0769230769233</v>
      </c>
      <c r="AJ42" s="231">
        <f>+Janvier!AL42</f>
        <v>1164.8076923076926</v>
      </c>
      <c r="AK42" s="231">
        <f>+Janvier!AM42</f>
        <v>1164.8076923076926</v>
      </c>
      <c r="AL42" s="231">
        <f>+Janvier!AN42</f>
        <v>705.944055944056</v>
      </c>
      <c r="AM42" s="231">
        <f>+Janvier!AO42</f>
        <v>436.80288461538458</v>
      </c>
      <c r="AN42" s="231">
        <f>+Janvier!AP42</f>
        <v>873.60576923076917</v>
      </c>
      <c r="AO42" s="231">
        <f>+Janvier!AQ42</f>
        <v>436.80288461538458</v>
      </c>
      <c r="AP42" s="231">
        <f>+Janvier!AR42</f>
        <v>436.80288461538458</v>
      </c>
      <c r="AQ42" s="231">
        <f>+Janvier!AS42</f>
        <v>776.53846153846166</v>
      </c>
      <c r="AR42" s="16">
        <f t="shared" si="78"/>
        <v>5</v>
      </c>
      <c r="AS42" s="16">
        <f t="shared" si="79"/>
        <v>5</v>
      </c>
      <c r="AT42" s="16">
        <f t="shared" si="80"/>
        <v>5</v>
      </c>
      <c r="AU42" s="16">
        <f t="shared" si="81"/>
        <v>5</v>
      </c>
      <c r="AV42" s="16">
        <f t="shared" si="82"/>
        <v>5</v>
      </c>
      <c r="AW42" s="16">
        <f t="shared" si="83"/>
        <v>5</v>
      </c>
      <c r="AX42" s="16">
        <f t="shared" si="84"/>
        <v>5</v>
      </c>
      <c r="AY42" s="16">
        <f t="shared" si="85"/>
        <v>5</v>
      </c>
      <c r="AZ42" s="16">
        <f t="shared" si="86"/>
        <v>5</v>
      </c>
      <c r="BA42" s="17">
        <f t="shared" si="87"/>
        <v>5</v>
      </c>
    </row>
    <row r="43" spans="1:53" ht="15.6" x14ac:dyDescent="0.3">
      <c r="A43" s="199" t="s">
        <v>46</v>
      </c>
      <c r="B43" s="94">
        <v>43952</v>
      </c>
      <c r="C43" s="94">
        <v>43982</v>
      </c>
      <c r="D43" s="107">
        <v>2680</v>
      </c>
      <c r="E43" s="96">
        <v>3080</v>
      </c>
      <c r="F43" s="97">
        <v>0</v>
      </c>
      <c r="G43" s="95">
        <v>7760</v>
      </c>
      <c r="H43" s="96">
        <v>9580</v>
      </c>
      <c r="I43" s="105">
        <v>0</v>
      </c>
      <c r="J43" s="95">
        <v>6110</v>
      </c>
      <c r="K43" s="96">
        <v>7180</v>
      </c>
      <c r="L43" s="97">
        <v>0</v>
      </c>
      <c r="M43" s="95">
        <v>6280</v>
      </c>
      <c r="N43" s="96">
        <v>7176</v>
      </c>
      <c r="O43" s="97">
        <v>0</v>
      </c>
      <c r="P43" s="95">
        <v>4234</v>
      </c>
      <c r="Q43" s="96">
        <v>4349</v>
      </c>
      <c r="R43" s="97">
        <v>0</v>
      </c>
      <c r="S43" s="95">
        <v>1960</v>
      </c>
      <c r="T43" s="96">
        <v>2700</v>
      </c>
      <c r="U43" s="97">
        <v>0</v>
      </c>
      <c r="V43" s="95">
        <v>3820</v>
      </c>
      <c r="W43" s="96">
        <v>5380</v>
      </c>
      <c r="X43" s="97">
        <v>0</v>
      </c>
      <c r="Y43" s="95">
        <v>2700</v>
      </c>
      <c r="Z43" s="96">
        <v>2700</v>
      </c>
      <c r="AA43" s="97">
        <v>30</v>
      </c>
      <c r="AB43" s="95">
        <v>2700</v>
      </c>
      <c r="AC43" s="96">
        <v>2700</v>
      </c>
      <c r="AD43" s="97">
        <v>30</v>
      </c>
      <c r="AE43" s="95">
        <v>3400</v>
      </c>
      <c r="AF43" s="96">
        <v>4780</v>
      </c>
      <c r="AG43" s="105">
        <v>0</v>
      </c>
      <c r="AH43" s="231">
        <f>+Janvier!AJ43</f>
        <v>3075.0824175824173</v>
      </c>
      <c r="AI43" s="231">
        <f>+Janvier!AK43</f>
        <v>9566.923076923078</v>
      </c>
      <c r="AJ43" s="231">
        <f>+Janvier!AL43</f>
        <v>7175.1923076923067</v>
      </c>
      <c r="AK43" s="231">
        <f>+Janvier!AM43</f>
        <v>7175.1923076923067</v>
      </c>
      <c r="AL43" s="231">
        <f>+Janvier!AN43</f>
        <v>4348.6013986013986</v>
      </c>
      <c r="AM43" s="231">
        <f>+Janvier!AO43</f>
        <v>2690.6971153846152</v>
      </c>
      <c r="AN43" s="231">
        <f>+Janvier!AP43</f>
        <v>5381.3942307692305</v>
      </c>
      <c r="AO43" s="231">
        <f>+Janvier!AQ43</f>
        <v>2690.6971153846152</v>
      </c>
      <c r="AP43" s="231">
        <f>+Janvier!AR43</f>
        <v>2690.6971153846152</v>
      </c>
      <c r="AQ43" s="231">
        <f>+Janvier!AS43</f>
        <v>4783.461538461539</v>
      </c>
      <c r="AR43" s="16">
        <f t="shared" si="78"/>
        <v>5</v>
      </c>
      <c r="AS43" s="16">
        <f t="shared" si="79"/>
        <v>5</v>
      </c>
      <c r="AT43" s="16">
        <f t="shared" si="80"/>
        <v>5</v>
      </c>
      <c r="AU43" s="16">
        <f t="shared" si="81"/>
        <v>5</v>
      </c>
      <c r="AV43" s="16">
        <f t="shared" si="82"/>
        <v>5</v>
      </c>
      <c r="AW43" s="16">
        <f t="shared" si="83"/>
        <v>5</v>
      </c>
      <c r="AX43" s="16">
        <f t="shared" si="84"/>
        <v>5</v>
      </c>
      <c r="AY43" s="16">
        <f t="shared" si="85"/>
        <v>5</v>
      </c>
      <c r="AZ43" s="16">
        <f t="shared" si="86"/>
        <v>5</v>
      </c>
      <c r="BA43" s="17">
        <f t="shared" si="87"/>
        <v>5</v>
      </c>
    </row>
    <row r="44" spans="1:53" ht="15.6" x14ac:dyDescent="0.3">
      <c r="A44" s="199" t="s">
        <v>47</v>
      </c>
      <c r="B44" s="94">
        <v>43952</v>
      </c>
      <c r="C44" s="94">
        <v>43982</v>
      </c>
      <c r="D44" s="107">
        <v>2060</v>
      </c>
      <c r="E44" s="96">
        <v>2320</v>
      </c>
      <c r="F44" s="97">
        <v>0</v>
      </c>
      <c r="G44" s="95">
        <v>5700</v>
      </c>
      <c r="H44" s="96">
        <v>7280</v>
      </c>
      <c r="I44" s="105">
        <v>0</v>
      </c>
      <c r="J44" s="95">
        <v>4600</v>
      </c>
      <c r="K44" s="96">
        <v>5420</v>
      </c>
      <c r="L44" s="97">
        <v>0</v>
      </c>
      <c r="M44" s="95">
        <v>4268</v>
      </c>
      <c r="N44" s="96">
        <v>5420</v>
      </c>
      <c r="O44" s="97">
        <v>0</v>
      </c>
      <c r="P44" s="95">
        <v>2993</v>
      </c>
      <c r="Q44" s="96">
        <v>3287</v>
      </c>
      <c r="R44" s="97">
        <v>0</v>
      </c>
      <c r="S44" s="95">
        <v>1540</v>
      </c>
      <c r="T44" s="96">
        <v>2030</v>
      </c>
      <c r="U44" s="97">
        <v>0</v>
      </c>
      <c r="V44" s="95">
        <v>2560</v>
      </c>
      <c r="W44" s="96">
        <v>4070</v>
      </c>
      <c r="X44" s="97">
        <v>0</v>
      </c>
      <c r="Y44" s="95">
        <v>2030</v>
      </c>
      <c r="Z44" s="96">
        <v>2030</v>
      </c>
      <c r="AA44" s="97">
        <v>37</v>
      </c>
      <c r="AB44" s="95">
        <v>2030</v>
      </c>
      <c r="AC44" s="96">
        <v>2030</v>
      </c>
      <c r="AD44" s="97">
        <v>37</v>
      </c>
      <c r="AE44" s="95">
        <v>2750</v>
      </c>
      <c r="AF44" s="96">
        <v>3620</v>
      </c>
      <c r="AG44" s="105">
        <v>0</v>
      </c>
      <c r="AH44" s="231">
        <f>+Janvier!AJ44</f>
        <v>2324.2994505494512</v>
      </c>
      <c r="AI44" s="231">
        <f>+Janvier!AK44</f>
        <v>7231.1538461538476</v>
      </c>
      <c r="AJ44" s="231">
        <f>+Janvier!AL44</f>
        <v>5423.3653846153857</v>
      </c>
      <c r="AK44" s="231">
        <f>+Janvier!AM44</f>
        <v>5423.3653846153857</v>
      </c>
      <c r="AL44" s="231">
        <f>+Janvier!AN44</f>
        <v>3286.8881118881118</v>
      </c>
      <c r="AM44" s="231">
        <f>+Janvier!AO44</f>
        <v>2033.7620192307693</v>
      </c>
      <c r="AN44" s="231">
        <f>+Janvier!AP44</f>
        <v>4067.5240384615386</v>
      </c>
      <c r="AO44" s="231">
        <f>+Janvier!AQ44</f>
        <v>2033.7620192307693</v>
      </c>
      <c r="AP44" s="231">
        <f>+Janvier!AR44</f>
        <v>2033.7620192307693</v>
      </c>
      <c r="AQ44" s="231">
        <f>+Janvier!AS44</f>
        <v>3615.5769230769238</v>
      </c>
      <c r="AR44" s="16">
        <f t="shared" si="78"/>
        <v>5</v>
      </c>
      <c r="AS44" s="16">
        <f t="shared" si="79"/>
        <v>5</v>
      </c>
      <c r="AT44" s="16">
        <f t="shared" si="80"/>
        <v>5</v>
      </c>
      <c r="AU44" s="16">
        <f t="shared" si="81"/>
        <v>5</v>
      </c>
      <c r="AV44" s="16">
        <f t="shared" si="82"/>
        <v>5</v>
      </c>
      <c r="AW44" s="16">
        <f t="shared" si="83"/>
        <v>5</v>
      </c>
      <c r="AX44" s="16">
        <f t="shared" si="84"/>
        <v>5</v>
      </c>
      <c r="AY44" s="16">
        <f t="shared" si="85"/>
        <v>5</v>
      </c>
      <c r="AZ44" s="16">
        <f t="shared" si="86"/>
        <v>5</v>
      </c>
      <c r="BA44" s="17">
        <f t="shared" si="87"/>
        <v>5</v>
      </c>
    </row>
    <row r="45" spans="1:53" ht="15.6" x14ac:dyDescent="0.3">
      <c r="A45" s="199" t="s">
        <v>48</v>
      </c>
      <c r="B45" s="94">
        <v>43952</v>
      </c>
      <c r="C45" s="94">
        <v>43982</v>
      </c>
      <c r="D45" s="107">
        <v>1860</v>
      </c>
      <c r="E45" s="96">
        <v>2320</v>
      </c>
      <c r="F45" s="97">
        <v>0</v>
      </c>
      <c r="G45" s="95">
        <v>5240</v>
      </c>
      <c r="H45" s="96">
        <v>7240</v>
      </c>
      <c r="I45" s="105">
        <v>0</v>
      </c>
      <c r="J45" s="95">
        <v>4040</v>
      </c>
      <c r="K45" s="96">
        <v>5430</v>
      </c>
      <c r="L45" s="97">
        <v>0</v>
      </c>
      <c r="M45" s="95">
        <v>4016</v>
      </c>
      <c r="N45" s="96">
        <v>5432</v>
      </c>
      <c r="O45" s="97">
        <v>0</v>
      </c>
      <c r="P45" s="95">
        <v>2812</v>
      </c>
      <c r="Q45" s="96">
        <v>3300</v>
      </c>
      <c r="R45" s="97">
        <v>0</v>
      </c>
      <c r="S45" s="95">
        <v>1480</v>
      </c>
      <c r="T45" s="96">
        <v>2040</v>
      </c>
      <c r="U45" s="97">
        <v>0</v>
      </c>
      <c r="V45" s="95">
        <v>2070</v>
      </c>
      <c r="W45" s="96">
        <v>4070</v>
      </c>
      <c r="X45" s="97">
        <v>0</v>
      </c>
      <c r="Y45" s="95">
        <v>2040</v>
      </c>
      <c r="Z45" s="96">
        <v>2040</v>
      </c>
      <c r="AA45" s="97">
        <v>35</v>
      </c>
      <c r="AB45" s="95">
        <v>2040</v>
      </c>
      <c r="AC45" s="96">
        <v>2040</v>
      </c>
      <c r="AD45" s="97">
        <v>35</v>
      </c>
      <c r="AE45" s="95">
        <v>2840</v>
      </c>
      <c r="AF45" s="96">
        <v>3620</v>
      </c>
      <c r="AG45" s="105">
        <v>0</v>
      </c>
      <c r="AH45" s="231">
        <f>+Janvier!AJ45</f>
        <v>2327.5137362637361</v>
      </c>
      <c r="AI45" s="231">
        <f>+Janvier!AK45</f>
        <v>7241.1538461538466</v>
      </c>
      <c r="AJ45" s="231">
        <f>+Janvier!AL45</f>
        <v>5430.8653846153829</v>
      </c>
      <c r="AK45" s="231">
        <f>+Janvier!AM45</f>
        <v>5430.8653846153829</v>
      </c>
      <c r="AL45" s="231">
        <f>+Janvier!AN45</f>
        <v>3291.4335664335663</v>
      </c>
      <c r="AM45" s="231">
        <f>+Janvier!AO45</f>
        <v>2036.5745192307693</v>
      </c>
      <c r="AN45" s="231">
        <f>+Janvier!AP45</f>
        <v>4073.1490384615386</v>
      </c>
      <c r="AO45" s="231">
        <f>+Janvier!AQ45</f>
        <v>2036.5745192307693</v>
      </c>
      <c r="AP45" s="231">
        <f>+Janvier!AR45</f>
        <v>2036.5745192307693</v>
      </c>
      <c r="AQ45" s="231">
        <f>+Janvier!AS45</f>
        <v>3620.5769230769233</v>
      </c>
      <c r="AR45" s="16">
        <f t="shared" si="78"/>
        <v>5</v>
      </c>
      <c r="AS45" s="16">
        <f t="shared" si="79"/>
        <v>5</v>
      </c>
      <c r="AT45" s="16">
        <f t="shared" si="80"/>
        <v>5</v>
      </c>
      <c r="AU45" s="16">
        <f t="shared" si="81"/>
        <v>5</v>
      </c>
      <c r="AV45" s="16">
        <f t="shared" si="82"/>
        <v>5</v>
      </c>
      <c r="AW45" s="16">
        <f t="shared" si="83"/>
        <v>5</v>
      </c>
      <c r="AX45" s="16">
        <f t="shared" si="84"/>
        <v>5</v>
      </c>
      <c r="AY45" s="16">
        <f t="shared" si="85"/>
        <v>5</v>
      </c>
      <c r="AZ45" s="16">
        <f t="shared" si="86"/>
        <v>5</v>
      </c>
      <c r="BA45" s="17">
        <f t="shared" si="87"/>
        <v>5</v>
      </c>
    </row>
    <row r="46" spans="1:53" ht="15.6" x14ac:dyDescent="0.3">
      <c r="A46" s="199" t="s">
        <v>49</v>
      </c>
      <c r="B46" s="94">
        <v>43952</v>
      </c>
      <c r="C46" s="94">
        <v>43982</v>
      </c>
      <c r="D46" s="107">
        <v>2000</v>
      </c>
      <c r="E46" s="96">
        <v>2160</v>
      </c>
      <c r="F46" s="97">
        <v>0</v>
      </c>
      <c r="G46" s="95">
        <v>5200</v>
      </c>
      <c r="H46" s="96">
        <v>6720</v>
      </c>
      <c r="I46" s="105">
        <v>0</v>
      </c>
      <c r="J46" s="95">
        <v>4300</v>
      </c>
      <c r="K46" s="96">
        <v>5040</v>
      </c>
      <c r="L46" s="97">
        <v>0</v>
      </c>
      <c r="M46" s="95">
        <v>4200</v>
      </c>
      <c r="N46" s="96">
        <v>5040</v>
      </c>
      <c r="O46" s="97">
        <v>0</v>
      </c>
      <c r="P46" s="95">
        <v>2750</v>
      </c>
      <c r="Q46" s="96">
        <v>3055</v>
      </c>
      <c r="R46" s="97">
        <v>0</v>
      </c>
      <c r="S46" s="95">
        <v>1430</v>
      </c>
      <c r="T46" s="96">
        <v>1890</v>
      </c>
      <c r="U46" s="97">
        <v>0</v>
      </c>
      <c r="V46" s="95">
        <v>2200</v>
      </c>
      <c r="W46" s="96">
        <v>3780</v>
      </c>
      <c r="X46" s="97">
        <v>0</v>
      </c>
      <c r="Y46" s="95">
        <v>1890</v>
      </c>
      <c r="Z46" s="96">
        <v>1890</v>
      </c>
      <c r="AA46" s="97">
        <v>36</v>
      </c>
      <c r="AB46" s="95">
        <v>1890</v>
      </c>
      <c r="AC46" s="96">
        <v>1890</v>
      </c>
      <c r="AD46" s="97">
        <v>36</v>
      </c>
      <c r="AE46" s="95">
        <v>1800</v>
      </c>
      <c r="AF46" s="96">
        <v>3360</v>
      </c>
      <c r="AG46" s="105">
        <v>0</v>
      </c>
      <c r="AH46" s="231">
        <f>+Janvier!AJ46</f>
        <v>2160.3708791208792</v>
      </c>
      <c r="AI46" s="231">
        <f>+Janvier!AK46</f>
        <v>6721.1538461538466</v>
      </c>
      <c r="AJ46" s="231">
        <f>+Janvier!AL46</f>
        <v>5040.8653846153848</v>
      </c>
      <c r="AK46" s="231">
        <f>+Janvier!AM46</f>
        <v>5040.8653846153848</v>
      </c>
      <c r="AL46" s="231">
        <f>+Janvier!AN46</f>
        <v>3055.0699300699303</v>
      </c>
      <c r="AM46" s="231">
        <f>+Janvier!AO46</f>
        <v>1890.3245192307693</v>
      </c>
      <c r="AN46" s="231">
        <f>+Janvier!AP46</f>
        <v>3780.6490384615386</v>
      </c>
      <c r="AO46" s="231">
        <f>+Janvier!AQ46</f>
        <v>1890.3245192307693</v>
      </c>
      <c r="AP46" s="231">
        <f>+Janvier!AR46</f>
        <v>1890.3245192307693</v>
      </c>
      <c r="AQ46" s="231">
        <f>+Janvier!AS46</f>
        <v>3360.5769230769233</v>
      </c>
      <c r="AR46" s="16">
        <f t="shared" si="78"/>
        <v>5</v>
      </c>
      <c r="AS46" s="16">
        <f t="shared" si="79"/>
        <v>5</v>
      </c>
      <c r="AT46" s="16">
        <f t="shared" si="80"/>
        <v>5</v>
      </c>
      <c r="AU46" s="16">
        <f t="shared" si="81"/>
        <v>5</v>
      </c>
      <c r="AV46" s="16">
        <f t="shared" si="82"/>
        <v>5</v>
      </c>
      <c r="AW46" s="16">
        <f t="shared" si="83"/>
        <v>5</v>
      </c>
      <c r="AX46" s="16">
        <f t="shared" si="84"/>
        <v>5</v>
      </c>
      <c r="AY46" s="16">
        <f t="shared" si="85"/>
        <v>5</v>
      </c>
      <c r="AZ46" s="16">
        <f t="shared" si="86"/>
        <v>5</v>
      </c>
      <c r="BA46" s="17">
        <f t="shared" si="87"/>
        <v>5</v>
      </c>
    </row>
    <row r="47" spans="1:53" ht="15.6" x14ac:dyDescent="0.3">
      <c r="A47" s="199" t="s">
        <v>50</v>
      </c>
      <c r="B47" s="94">
        <v>43952</v>
      </c>
      <c r="C47" s="94">
        <v>43982</v>
      </c>
      <c r="D47" s="107">
        <v>3760</v>
      </c>
      <c r="E47" s="96">
        <v>3760</v>
      </c>
      <c r="F47" s="97">
        <v>0</v>
      </c>
      <c r="G47" s="95">
        <v>9540</v>
      </c>
      <c r="H47" s="96">
        <v>11720</v>
      </c>
      <c r="I47" s="105">
        <v>0</v>
      </c>
      <c r="J47" s="95">
        <v>8170</v>
      </c>
      <c r="K47" s="96">
        <v>8790</v>
      </c>
      <c r="L47" s="97">
        <v>0</v>
      </c>
      <c r="M47" s="95">
        <v>7676</v>
      </c>
      <c r="N47" s="96">
        <v>8788</v>
      </c>
      <c r="O47" s="97">
        <v>0</v>
      </c>
      <c r="P47" s="95">
        <v>5309</v>
      </c>
      <c r="Q47" s="96">
        <v>5327</v>
      </c>
      <c r="R47" s="97">
        <v>0</v>
      </c>
      <c r="S47" s="95">
        <v>2960</v>
      </c>
      <c r="T47" s="96">
        <v>3300</v>
      </c>
      <c r="U47" s="97">
        <v>0</v>
      </c>
      <c r="V47" s="95">
        <v>5620</v>
      </c>
      <c r="W47" s="96">
        <v>6600</v>
      </c>
      <c r="X47" s="97">
        <v>0</v>
      </c>
      <c r="Y47" s="95">
        <v>3300</v>
      </c>
      <c r="Z47" s="96">
        <v>3300</v>
      </c>
      <c r="AA47" s="97">
        <v>31</v>
      </c>
      <c r="AB47" s="95">
        <v>3300</v>
      </c>
      <c r="AC47" s="96">
        <v>3300</v>
      </c>
      <c r="AD47" s="97">
        <v>31</v>
      </c>
      <c r="AE47" s="95">
        <v>5530</v>
      </c>
      <c r="AF47" s="96">
        <v>5860</v>
      </c>
      <c r="AG47" s="105">
        <v>0</v>
      </c>
      <c r="AH47" s="231">
        <f>+Janvier!AJ47</f>
        <v>3766.7719780219786</v>
      </c>
      <c r="AI47" s="231">
        <f>+Janvier!AK47</f>
        <v>11718.846153846154</v>
      </c>
      <c r="AJ47" s="231">
        <f>+Janvier!AL47</f>
        <v>8789.1346153846171</v>
      </c>
      <c r="AK47" s="231">
        <f>+Janvier!AM47</f>
        <v>8789.1346153846171</v>
      </c>
      <c r="AL47" s="231">
        <f>+Janvier!AN47</f>
        <v>5326.7482517482513</v>
      </c>
      <c r="AM47" s="231">
        <f>+Janvier!AO47</f>
        <v>3295.9254807692309</v>
      </c>
      <c r="AN47" s="231">
        <f>+Janvier!AP47</f>
        <v>6591.8509615384619</v>
      </c>
      <c r="AO47" s="231">
        <f>+Janvier!AQ47</f>
        <v>3295.9254807692309</v>
      </c>
      <c r="AP47" s="231">
        <f>+Janvier!AR47</f>
        <v>3295.9254807692309</v>
      </c>
      <c r="AQ47" s="231">
        <f>+Janvier!AS47</f>
        <v>5859.4230769230771</v>
      </c>
      <c r="AR47" s="16">
        <f t="shared" si="78"/>
        <v>5</v>
      </c>
      <c r="AS47" s="16">
        <f t="shared" si="79"/>
        <v>5</v>
      </c>
      <c r="AT47" s="16">
        <f t="shared" si="80"/>
        <v>5</v>
      </c>
      <c r="AU47" s="16">
        <f t="shared" si="81"/>
        <v>5</v>
      </c>
      <c r="AV47" s="16">
        <f t="shared" si="82"/>
        <v>5</v>
      </c>
      <c r="AW47" s="16">
        <f t="shared" si="83"/>
        <v>5</v>
      </c>
      <c r="AX47" s="16">
        <f t="shared" si="84"/>
        <v>5</v>
      </c>
      <c r="AY47" s="16">
        <f t="shared" si="85"/>
        <v>5</v>
      </c>
      <c r="AZ47" s="16">
        <f t="shared" si="86"/>
        <v>5</v>
      </c>
      <c r="BA47" s="17">
        <f t="shared" si="87"/>
        <v>5</v>
      </c>
    </row>
    <row r="48" spans="1:53" ht="15.6" x14ac:dyDescent="0.3">
      <c r="A48" s="199" t="s">
        <v>56</v>
      </c>
      <c r="B48" s="94">
        <v>43952</v>
      </c>
      <c r="C48" s="94">
        <v>43982</v>
      </c>
      <c r="D48" s="107">
        <v>1100</v>
      </c>
      <c r="E48" s="96">
        <v>1600</v>
      </c>
      <c r="F48" s="97">
        <v>0</v>
      </c>
      <c r="G48" s="95">
        <v>2180</v>
      </c>
      <c r="H48" s="96">
        <v>5000</v>
      </c>
      <c r="I48" s="105">
        <v>0</v>
      </c>
      <c r="J48" s="95">
        <v>1780</v>
      </c>
      <c r="K48" s="96">
        <v>3740</v>
      </c>
      <c r="L48" s="97">
        <v>0</v>
      </c>
      <c r="M48" s="95">
        <v>1748</v>
      </c>
      <c r="N48" s="96">
        <v>3744</v>
      </c>
      <c r="O48" s="97">
        <v>0</v>
      </c>
      <c r="P48" s="95">
        <v>1249</v>
      </c>
      <c r="Q48" s="96">
        <v>2269</v>
      </c>
      <c r="R48" s="97">
        <v>0</v>
      </c>
      <c r="S48" s="95">
        <v>610</v>
      </c>
      <c r="T48" s="96">
        <v>1400</v>
      </c>
      <c r="U48" s="97">
        <v>0</v>
      </c>
      <c r="V48" s="95">
        <v>1130</v>
      </c>
      <c r="W48" s="96">
        <v>2810</v>
      </c>
      <c r="X48" s="97">
        <v>0</v>
      </c>
      <c r="Y48" s="95">
        <v>1400</v>
      </c>
      <c r="Z48" s="96">
        <v>1400</v>
      </c>
      <c r="AA48" s="97">
        <v>32</v>
      </c>
      <c r="AB48" s="95">
        <v>1400</v>
      </c>
      <c r="AC48" s="96">
        <v>1400</v>
      </c>
      <c r="AD48" s="97">
        <v>32</v>
      </c>
      <c r="AE48" s="95">
        <v>990</v>
      </c>
      <c r="AF48" s="96">
        <v>2500</v>
      </c>
      <c r="AG48" s="105">
        <v>0</v>
      </c>
      <c r="AH48" s="231">
        <f>+Janvier!AJ48</f>
        <v>1604.6703296703297</v>
      </c>
      <c r="AI48" s="231">
        <f>+Janvier!AK48</f>
        <v>4992.3076923076924</v>
      </c>
      <c r="AJ48" s="231">
        <f>+Janvier!AL48</f>
        <v>3744.2307692307691</v>
      </c>
      <c r="AK48" s="231">
        <f>+Janvier!AM48</f>
        <v>3744.2307692307691</v>
      </c>
      <c r="AL48" s="231">
        <f>+Janvier!AN48</f>
        <v>2269.2307692307695</v>
      </c>
      <c r="AM48" s="231">
        <f>+Janvier!AO48</f>
        <v>1404.0865384615383</v>
      </c>
      <c r="AN48" s="231">
        <f>+Janvier!AP48</f>
        <v>2808.1730769230767</v>
      </c>
      <c r="AO48" s="231">
        <f>+Janvier!AQ48</f>
        <v>1404.0865384615383</v>
      </c>
      <c r="AP48" s="231">
        <f>+Janvier!AR48</f>
        <v>1404.0865384615383</v>
      </c>
      <c r="AQ48" s="231">
        <f>+Janvier!AS48</f>
        <v>2496.1538461538462</v>
      </c>
      <c r="AR48" s="16">
        <f t="shared" si="78"/>
        <v>5</v>
      </c>
      <c r="AS48" s="16">
        <f t="shared" si="79"/>
        <v>5</v>
      </c>
      <c r="AT48" s="16">
        <f t="shared" si="80"/>
        <v>5</v>
      </c>
      <c r="AU48" s="16">
        <f t="shared" si="81"/>
        <v>5</v>
      </c>
      <c r="AV48" s="16">
        <f t="shared" si="82"/>
        <v>5</v>
      </c>
      <c r="AW48" s="16">
        <f t="shared" si="83"/>
        <v>5</v>
      </c>
      <c r="AX48" s="16">
        <f t="shared" si="84"/>
        <v>5</v>
      </c>
      <c r="AY48" s="16">
        <f t="shared" si="85"/>
        <v>5</v>
      </c>
      <c r="AZ48" s="16">
        <f t="shared" si="86"/>
        <v>5</v>
      </c>
      <c r="BA48" s="17">
        <f t="shared" si="87"/>
        <v>5</v>
      </c>
    </row>
    <row r="49" spans="1:53" ht="15.6" x14ac:dyDescent="0.3">
      <c r="A49" s="199" t="s">
        <v>51</v>
      </c>
      <c r="B49" s="94">
        <v>43952</v>
      </c>
      <c r="C49" s="94">
        <v>43982</v>
      </c>
      <c r="D49" s="107">
        <v>820</v>
      </c>
      <c r="E49" s="96">
        <v>1040</v>
      </c>
      <c r="F49" s="97">
        <v>0</v>
      </c>
      <c r="G49" s="95">
        <v>2300</v>
      </c>
      <c r="H49" s="96">
        <v>3220</v>
      </c>
      <c r="I49" s="105">
        <v>0</v>
      </c>
      <c r="J49" s="95">
        <v>1850</v>
      </c>
      <c r="K49" s="96">
        <v>2410</v>
      </c>
      <c r="L49" s="97">
        <v>0</v>
      </c>
      <c r="M49" s="95">
        <v>1900</v>
      </c>
      <c r="N49" s="96">
        <v>2408</v>
      </c>
      <c r="O49" s="97">
        <v>0</v>
      </c>
      <c r="P49" s="95">
        <v>1200</v>
      </c>
      <c r="Q49" s="96">
        <v>1460</v>
      </c>
      <c r="R49" s="97">
        <v>0</v>
      </c>
      <c r="S49" s="95">
        <v>700</v>
      </c>
      <c r="T49" s="96">
        <v>900</v>
      </c>
      <c r="U49" s="97">
        <v>0</v>
      </c>
      <c r="V49" s="95">
        <v>930</v>
      </c>
      <c r="W49" s="96">
        <v>1810</v>
      </c>
      <c r="X49" s="97">
        <v>0</v>
      </c>
      <c r="Y49" s="95">
        <v>900</v>
      </c>
      <c r="Z49" s="96">
        <v>900</v>
      </c>
      <c r="AA49" s="97">
        <v>30</v>
      </c>
      <c r="AB49" s="95">
        <v>900</v>
      </c>
      <c r="AC49" s="96">
        <v>900</v>
      </c>
      <c r="AD49" s="97">
        <v>30</v>
      </c>
      <c r="AE49" s="95">
        <v>800</v>
      </c>
      <c r="AF49" s="96">
        <v>1610</v>
      </c>
      <c r="AG49" s="105">
        <v>0</v>
      </c>
      <c r="AH49" s="231">
        <f>+Janvier!AJ49</f>
        <v>1032.2802197802198</v>
      </c>
      <c r="AI49" s="231">
        <f>+Janvier!AK49</f>
        <v>3211.5384615384614</v>
      </c>
      <c r="AJ49" s="231">
        <f>+Janvier!AL49</f>
        <v>2408.6538461538462</v>
      </c>
      <c r="AK49" s="231">
        <f>+Janvier!AM49</f>
        <v>2408.6538461538462</v>
      </c>
      <c r="AL49" s="231">
        <f>+Janvier!AN49</f>
        <v>1459.7902097902099</v>
      </c>
      <c r="AM49" s="231">
        <f>+Janvier!AO49</f>
        <v>903.24519230769226</v>
      </c>
      <c r="AN49" s="231">
        <f>+Janvier!AP49</f>
        <v>1806.4903846153845</v>
      </c>
      <c r="AO49" s="231">
        <f>+Janvier!AQ49</f>
        <v>903.24519230769226</v>
      </c>
      <c r="AP49" s="231">
        <f>+Janvier!AR49</f>
        <v>903.24519230769226</v>
      </c>
      <c r="AQ49" s="231">
        <f>+Janvier!AS49</f>
        <v>1605.7692307692307</v>
      </c>
      <c r="AR49" s="16">
        <f t="shared" si="78"/>
        <v>5</v>
      </c>
      <c r="AS49" s="16">
        <f t="shared" si="79"/>
        <v>5</v>
      </c>
      <c r="AT49" s="16">
        <f t="shared" si="80"/>
        <v>5</v>
      </c>
      <c r="AU49" s="16">
        <f t="shared" si="81"/>
        <v>5</v>
      </c>
      <c r="AV49" s="16">
        <f t="shared" si="82"/>
        <v>5</v>
      </c>
      <c r="AW49" s="16">
        <f t="shared" si="83"/>
        <v>5</v>
      </c>
      <c r="AX49" s="16">
        <f t="shared" si="84"/>
        <v>5</v>
      </c>
      <c r="AY49" s="16">
        <f t="shared" si="85"/>
        <v>5</v>
      </c>
      <c r="AZ49" s="16">
        <f t="shared" si="86"/>
        <v>5</v>
      </c>
      <c r="BA49" s="17">
        <f t="shared" si="87"/>
        <v>5</v>
      </c>
    </row>
    <row r="50" spans="1:53" ht="15.6" x14ac:dyDescent="0.3">
      <c r="A50" s="199" t="s">
        <v>52</v>
      </c>
      <c r="B50" s="94">
        <v>43952</v>
      </c>
      <c r="C50" s="94">
        <v>43982</v>
      </c>
      <c r="D50" s="107">
        <v>2300</v>
      </c>
      <c r="E50" s="96">
        <v>2980</v>
      </c>
      <c r="F50" s="97">
        <v>0</v>
      </c>
      <c r="G50" s="95">
        <v>6300</v>
      </c>
      <c r="H50" s="96">
        <v>9280</v>
      </c>
      <c r="I50" s="105">
        <v>0</v>
      </c>
      <c r="J50" s="95">
        <v>4950</v>
      </c>
      <c r="K50" s="96">
        <v>6960</v>
      </c>
      <c r="L50" s="97">
        <v>0</v>
      </c>
      <c r="M50" s="95">
        <v>4400</v>
      </c>
      <c r="N50" s="96">
        <v>6958</v>
      </c>
      <c r="O50" s="97">
        <v>0</v>
      </c>
      <c r="P50" s="95">
        <v>2830</v>
      </c>
      <c r="Q50" s="96">
        <v>4216</v>
      </c>
      <c r="R50" s="97">
        <v>0</v>
      </c>
      <c r="S50" s="95">
        <v>1750</v>
      </c>
      <c r="T50" s="96">
        <v>2610</v>
      </c>
      <c r="U50" s="97">
        <v>0</v>
      </c>
      <c r="V50" s="95">
        <v>2450</v>
      </c>
      <c r="W50" s="96">
        <v>5220</v>
      </c>
      <c r="X50" s="97">
        <v>0</v>
      </c>
      <c r="Y50" s="95">
        <v>2650</v>
      </c>
      <c r="Z50" s="96">
        <v>2650</v>
      </c>
      <c r="AA50" s="97">
        <v>35</v>
      </c>
      <c r="AB50" s="95">
        <v>2650</v>
      </c>
      <c r="AC50" s="96">
        <v>2650</v>
      </c>
      <c r="AD50" s="97">
        <v>35</v>
      </c>
      <c r="AE50" s="95">
        <v>2450</v>
      </c>
      <c r="AF50" s="96">
        <v>4640</v>
      </c>
      <c r="AG50" s="105">
        <v>0</v>
      </c>
      <c r="AH50" s="231">
        <f>+Janvier!AJ50</f>
        <v>2981.6208791208792</v>
      </c>
      <c r="AI50" s="231">
        <f>+Janvier!AK50</f>
        <v>9276.1538461538476</v>
      </c>
      <c r="AJ50" s="231">
        <f>+Janvier!AL50</f>
        <v>6957.1153846153857</v>
      </c>
      <c r="AK50" s="231">
        <f>+Janvier!AM50</f>
        <v>6957.1153846153857</v>
      </c>
      <c r="AL50" s="231">
        <f>+Janvier!AN50</f>
        <v>4216.4335664335667</v>
      </c>
      <c r="AM50" s="231">
        <f>+Janvier!AO50</f>
        <v>2608.9182692307691</v>
      </c>
      <c r="AN50" s="231">
        <f>+Janvier!AP50</f>
        <v>5217.8365384615381</v>
      </c>
      <c r="AO50" s="231">
        <f>+Janvier!AQ50</f>
        <v>2608.9182692307691</v>
      </c>
      <c r="AP50" s="231">
        <f>+Janvier!AR50</f>
        <v>2608.9182692307691</v>
      </c>
      <c r="AQ50" s="231">
        <f>+Janvier!AS50</f>
        <v>4638.0769230769238</v>
      </c>
      <c r="AR50" s="16">
        <f t="shared" si="78"/>
        <v>5</v>
      </c>
      <c r="AS50" s="16">
        <f t="shared" si="79"/>
        <v>5</v>
      </c>
      <c r="AT50" s="16">
        <f t="shared" si="80"/>
        <v>5</v>
      </c>
      <c r="AU50" s="16">
        <f t="shared" si="81"/>
        <v>5</v>
      </c>
      <c r="AV50" s="16">
        <f t="shared" si="82"/>
        <v>5</v>
      </c>
      <c r="AW50" s="16">
        <f t="shared" si="83"/>
        <v>5</v>
      </c>
      <c r="AX50" s="16">
        <f t="shared" si="84"/>
        <v>5</v>
      </c>
      <c r="AY50" s="16">
        <f t="shared" si="85"/>
        <v>5</v>
      </c>
      <c r="AZ50" s="16">
        <f t="shared" si="86"/>
        <v>5</v>
      </c>
      <c r="BA50" s="17">
        <f t="shared" si="87"/>
        <v>5</v>
      </c>
    </row>
    <row r="51" spans="1:53" ht="15.6" x14ac:dyDescent="0.3">
      <c r="A51" s="199" t="s">
        <v>53</v>
      </c>
      <c r="B51" s="94">
        <v>43952</v>
      </c>
      <c r="C51" s="94">
        <v>43982</v>
      </c>
      <c r="D51" s="107">
        <v>100</v>
      </c>
      <c r="E51" s="96">
        <v>180</v>
      </c>
      <c r="F51" s="97">
        <v>0</v>
      </c>
      <c r="G51" s="95">
        <v>280</v>
      </c>
      <c r="H51" s="96">
        <v>530</v>
      </c>
      <c r="I51" s="105">
        <v>0</v>
      </c>
      <c r="J51" s="95">
        <v>340</v>
      </c>
      <c r="K51" s="96">
        <v>400</v>
      </c>
      <c r="L51" s="97">
        <v>0</v>
      </c>
      <c r="M51" s="95">
        <v>276</v>
      </c>
      <c r="N51" s="96">
        <v>392</v>
      </c>
      <c r="O51" s="97">
        <v>0</v>
      </c>
      <c r="P51" s="95">
        <v>100</v>
      </c>
      <c r="Q51" s="96">
        <v>239</v>
      </c>
      <c r="R51" s="97">
        <v>0</v>
      </c>
      <c r="S51" s="95">
        <v>120</v>
      </c>
      <c r="T51" s="96">
        <v>150</v>
      </c>
      <c r="U51" s="97">
        <v>0</v>
      </c>
      <c r="V51" s="95">
        <v>140</v>
      </c>
      <c r="W51" s="96">
        <v>300</v>
      </c>
      <c r="X51" s="97">
        <v>0</v>
      </c>
      <c r="Y51" s="95">
        <v>60</v>
      </c>
      <c r="Z51" s="96">
        <v>150</v>
      </c>
      <c r="AA51" s="97">
        <v>29</v>
      </c>
      <c r="AB51" s="95">
        <v>150</v>
      </c>
      <c r="AC51" s="96">
        <v>150</v>
      </c>
      <c r="AD51" s="97">
        <v>29</v>
      </c>
      <c r="AE51" s="95">
        <v>130</v>
      </c>
      <c r="AF51" s="96">
        <v>260</v>
      </c>
      <c r="AG51" s="105">
        <v>0</v>
      </c>
      <c r="AH51" s="231">
        <f>+Janvier!AJ51</f>
        <v>168.87362637362639</v>
      </c>
      <c r="AI51" s="231">
        <f>+Janvier!AK51</f>
        <v>525.38461538461547</v>
      </c>
      <c r="AJ51" s="231">
        <f>+Janvier!AL51</f>
        <v>394.0384615384616</v>
      </c>
      <c r="AK51" s="231">
        <f>+Janvier!AM51</f>
        <v>394.0384615384616</v>
      </c>
      <c r="AL51" s="231">
        <f>+Janvier!AN51</f>
        <v>238.81118881118883</v>
      </c>
      <c r="AM51" s="231">
        <f>+Janvier!AO51</f>
        <v>147.76442307692309</v>
      </c>
      <c r="AN51" s="231">
        <f>+Janvier!AP51</f>
        <v>295.52884615384619</v>
      </c>
      <c r="AO51" s="231">
        <f>+Janvier!AQ51</f>
        <v>147.76442307692309</v>
      </c>
      <c r="AP51" s="231">
        <f>+Janvier!AR51</f>
        <v>147.76442307692309</v>
      </c>
      <c r="AQ51" s="231">
        <f>+Janvier!AS51</f>
        <v>262.69230769230774</v>
      </c>
      <c r="AR51" s="16">
        <f t="shared" si="78"/>
        <v>5</v>
      </c>
      <c r="AS51" s="16">
        <f t="shared" si="79"/>
        <v>5</v>
      </c>
      <c r="AT51" s="16">
        <f t="shared" si="80"/>
        <v>5</v>
      </c>
      <c r="AU51" s="16">
        <f t="shared" si="81"/>
        <v>5</v>
      </c>
      <c r="AV51" s="16">
        <f t="shared" si="82"/>
        <v>5</v>
      </c>
      <c r="AW51" s="16">
        <f t="shared" si="83"/>
        <v>5</v>
      </c>
      <c r="AX51" s="16">
        <f t="shared" si="84"/>
        <v>5</v>
      </c>
      <c r="AY51" s="16">
        <f t="shared" si="85"/>
        <v>5</v>
      </c>
      <c r="AZ51" s="16">
        <f t="shared" si="86"/>
        <v>5</v>
      </c>
      <c r="BA51" s="17">
        <f t="shared" si="87"/>
        <v>5</v>
      </c>
    </row>
    <row r="52" spans="1:53" ht="15.6" x14ac:dyDescent="0.3">
      <c r="A52" s="199" t="s">
        <v>54</v>
      </c>
      <c r="B52" s="94">
        <v>43952</v>
      </c>
      <c r="C52" s="94">
        <v>43982</v>
      </c>
      <c r="D52" s="107">
        <v>920</v>
      </c>
      <c r="E52" s="96">
        <v>1000</v>
      </c>
      <c r="F52" s="97">
        <v>0</v>
      </c>
      <c r="G52" s="95">
        <v>2220</v>
      </c>
      <c r="H52" s="96">
        <v>3120</v>
      </c>
      <c r="I52" s="105">
        <v>0</v>
      </c>
      <c r="J52" s="95">
        <v>1840</v>
      </c>
      <c r="K52" s="96">
        <v>2240</v>
      </c>
      <c r="L52" s="97">
        <v>0</v>
      </c>
      <c r="M52" s="95">
        <v>1840</v>
      </c>
      <c r="N52" s="96">
        <v>2330</v>
      </c>
      <c r="O52" s="97">
        <v>0</v>
      </c>
      <c r="P52" s="95">
        <v>1098</v>
      </c>
      <c r="Q52" s="96">
        <v>1417</v>
      </c>
      <c r="R52" s="97">
        <v>0</v>
      </c>
      <c r="S52" s="95">
        <v>660</v>
      </c>
      <c r="T52" s="96">
        <v>880</v>
      </c>
      <c r="U52" s="97">
        <v>0</v>
      </c>
      <c r="V52" s="95">
        <v>1200</v>
      </c>
      <c r="W52" s="96">
        <v>1750</v>
      </c>
      <c r="X52" s="97">
        <v>0</v>
      </c>
      <c r="Y52" s="95">
        <v>880</v>
      </c>
      <c r="Z52" s="96">
        <v>880</v>
      </c>
      <c r="AA52" s="97">
        <v>31</v>
      </c>
      <c r="AB52" s="95">
        <v>880</v>
      </c>
      <c r="AC52" s="96">
        <v>880</v>
      </c>
      <c r="AD52" s="97">
        <v>31</v>
      </c>
      <c r="AE52" s="95">
        <v>1330</v>
      </c>
      <c r="AF52" s="96">
        <v>1560</v>
      </c>
      <c r="AG52" s="105">
        <v>0</v>
      </c>
      <c r="AH52" s="231">
        <f>+Janvier!AJ52</f>
        <v>1001.7445054945053</v>
      </c>
      <c r="AI52" s="231">
        <f>+Janvier!AK52</f>
        <v>3116.5384615384614</v>
      </c>
      <c r="AJ52" s="231">
        <f>+Janvier!AL52</f>
        <v>2337.4038461538462</v>
      </c>
      <c r="AK52" s="231">
        <f>+Janvier!AM52</f>
        <v>2337.4038461538462</v>
      </c>
      <c r="AL52" s="231">
        <f>+Janvier!AN52</f>
        <v>1416.6083916083917</v>
      </c>
      <c r="AM52" s="231">
        <f>+Janvier!AO52</f>
        <v>876.52644230769226</v>
      </c>
      <c r="AN52" s="231">
        <f>+Janvier!AP52</f>
        <v>1753.0528846153845</v>
      </c>
      <c r="AO52" s="231">
        <f>+Janvier!AQ52</f>
        <v>876.52644230769226</v>
      </c>
      <c r="AP52" s="231">
        <f>+Janvier!AR52</f>
        <v>876.52644230769226</v>
      </c>
      <c r="AQ52" s="231">
        <f>+Janvier!AS52</f>
        <v>1558.2692307692307</v>
      </c>
      <c r="AR52" s="16">
        <f t="shared" si="78"/>
        <v>5</v>
      </c>
      <c r="AS52" s="16">
        <f t="shared" si="79"/>
        <v>5</v>
      </c>
      <c r="AT52" s="16">
        <f t="shared" si="80"/>
        <v>5</v>
      </c>
      <c r="AU52" s="16">
        <f t="shared" si="81"/>
        <v>5</v>
      </c>
      <c r="AV52" s="16">
        <f t="shared" si="82"/>
        <v>5</v>
      </c>
      <c r="AW52" s="16">
        <f t="shared" si="83"/>
        <v>5</v>
      </c>
      <c r="AX52" s="16">
        <f t="shared" si="84"/>
        <v>5</v>
      </c>
      <c r="AY52" s="16">
        <f t="shared" si="85"/>
        <v>5</v>
      </c>
      <c r="AZ52" s="16">
        <f t="shared" si="86"/>
        <v>5</v>
      </c>
      <c r="BA52" s="17">
        <f t="shared" si="87"/>
        <v>5</v>
      </c>
    </row>
    <row r="53" spans="1:53" ht="16.2" thickBot="1" x14ac:dyDescent="0.35">
      <c r="A53" s="200" t="s">
        <v>55</v>
      </c>
      <c r="B53" s="255">
        <v>43952</v>
      </c>
      <c r="C53" s="255">
        <v>43982</v>
      </c>
      <c r="D53" s="249">
        <v>120</v>
      </c>
      <c r="E53" s="260">
        <v>280</v>
      </c>
      <c r="F53" s="261">
        <v>0</v>
      </c>
      <c r="G53" s="111">
        <v>400</v>
      </c>
      <c r="H53" s="109">
        <v>840</v>
      </c>
      <c r="I53" s="112">
        <v>0</v>
      </c>
      <c r="J53" s="111">
        <v>310</v>
      </c>
      <c r="K53" s="109">
        <v>630</v>
      </c>
      <c r="L53" s="110">
        <v>0</v>
      </c>
      <c r="M53" s="111">
        <v>400</v>
      </c>
      <c r="N53" s="109">
        <v>628</v>
      </c>
      <c r="O53" s="110">
        <v>0</v>
      </c>
      <c r="P53" s="111">
        <v>264</v>
      </c>
      <c r="Q53" s="109">
        <v>381</v>
      </c>
      <c r="R53" s="110">
        <v>0</v>
      </c>
      <c r="S53" s="111">
        <v>200</v>
      </c>
      <c r="T53" s="109">
        <v>240</v>
      </c>
      <c r="U53" s="110">
        <v>0</v>
      </c>
      <c r="V53" s="111">
        <v>310</v>
      </c>
      <c r="W53" s="109">
        <v>470</v>
      </c>
      <c r="X53" s="110">
        <v>0</v>
      </c>
      <c r="Y53" s="111">
        <v>240</v>
      </c>
      <c r="Z53" s="109">
        <v>240</v>
      </c>
      <c r="AA53" s="110">
        <v>26</v>
      </c>
      <c r="AB53" s="111">
        <v>240</v>
      </c>
      <c r="AC53" s="109">
        <v>240</v>
      </c>
      <c r="AD53" s="110">
        <v>260</v>
      </c>
      <c r="AE53" s="111">
        <v>280</v>
      </c>
      <c r="AF53" s="109">
        <v>450</v>
      </c>
      <c r="AG53" s="112">
        <v>0</v>
      </c>
      <c r="AH53" s="231">
        <f>+Janvier!AJ53</f>
        <v>269.25824175824175</v>
      </c>
      <c r="AI53" s="231">
        <f>+Janvier!AK53</f>
        <v>837.69230769230774</v>
      </c>
      <c r="AJ53" s="231">
        <f>+Janvier!AL53</f>
        <v>628.26923076923083</v>
      </c>
      <c r="AK53" s="231">
        <f>+Janvier!AM53</f>
        <v>628.26923076923083</v>
      </c>
      <c r="AL53" s="231">
        <f>+Janvier!AN53</f>
        <v>380.76923076923083</v>
      </c>
      <c r="AM53" s="231">
        <f>+Janvier!AO53</f>
        <v>235.60096153846155</v>
      </c>
      <c r="AN53" s="231">
        <f>+Janvier!AP53</f>
        <v>471.20192307692309</v>
      </c>
      <c r="AO53" s="231">
        <f>+Janvier!AQ53</f>
        <v>235.60096153846155</v>
      </c>
      <c r="AP53" s="231">
        <f>+Janvier!AR53</f>
        <v>235.60096153846155</v>
      </c>
      <c r="AQ53" s="231">
        <f>+Janvier!AS53</f>
        <v>418.84615384615387</v>
      </c>
      <c r="AR53" s="32">
        <f t="shared" si="78"/>
        <v>5</v>
      </c>
      <c r="AS53" s="32">
        <f t="shared" si="79"/>
        <v>5</v>
      </c>
      <c r="AT53" s="32">
        <f t="shared" si="80"/>
        <v>5</v>
      </c>
      <c r="AU53" s="32">
        <f t="shared" si="81"/>
        <v>5</v>
      </c>
      <c r="AV53" s="32">
        <f t="shared" si="82"/>
        <v>5</v>
      </c>
      <c r="AW53" s="32">
        <f t="shared" si="83"/>
        <v>5</v>
      </c>
      <c r="AX53" s="32">
        <f t="shared" si="84"/>
        <v>5</v>
      </c>
      <c r="AY53" s="32">
        <f t="shared" si="85"/>
        <v>5</v>
      </c>
      <c r="AZ53" s="32">
        <f t="shared" si="86"/>
        <v>5</v>
      </c>
      <c r="BA53" s="33">
        <f t="shared" si="87"/>
        <v>5</v>
      </c>
    </row>
    <row r="54" spans="1:53" ht="15.6" x14ac:dyDescent="0.3">
      <c r="A54" s="201" t="s">
        <v>146</v>
      </c>
      <c r="B54" s="256">
        <v>43952</v>
      </c>
      <c r="C54" s="259">
        <v>43982</v>
      </c>
      <c r="D54" s="125">
        <v>15000</v>
      </c>
      <c r="E54" s="123">
        <v>22440</v>
      </c>
      <c r="F54" s="124">
        <v>0</v>
      </c>
      <c r="G54" s="125">
        <v>0</v>
      </c>
      <c r="H54" s="123">
        <v>40520</v>
      </c>
      <c r="I54" s="124">
        <v>0</v>
      </c>
      <c r="J54" s="125">
        <v>21600</v>
      </c>
      <c r="K54" s="123">
        <v>45400</v>
      </c>
      <c r="L54" s="124">
        <v>0</v>
      </c>
      <c r="M54" s="125">
        <v>19000</v>
      </c>
      <c r="N54" s="123">
        <v>46744</v>
      </c>
      <c r="O54" s="124">
        <v>0</v>
      </c>
      <c r="P54" s="125">
        <v>13600</v>
      </c>
      <c r="Q54" s="123">
        <v>29500</v>
      </c>
      <c r="R54" s="124">
        <v>0</v>
      </c>
      <c r="S54" s="125">
        <v>10200</v>
      </c>
      <c r="T54" s="123">
        <v>17060</v>
      </c>
      <c r="U54" s="124">
        <v>0</v>
      </c>
      <c r="V54" s="125">
        <v>0</v>
      </c>
      <c r="W54" s="123">
        <v>44610</v>
      </c>
      <c r="X54" s="124">
        <v>0</v>
      </c>
      <c r="Y54" s="125">
        <v>11500</v>
      </c>
      <c r="Z54" s="123">
        <v>19380</v>
      </c>
      <c r="AA54" s="124">
        <v>0</v>
      </c>
      <c r="AB54" s="125">
        <v>26000</v>
      </c>
      <c r="AC54" s="123">
        <v>23900</v>
      </c>
      <c r="AD54" s="124">
        <v>0</v>
      </c>
      <c r="AE54" s="125">
        <v>0</v>
      </c>
      <c r="AF54" s="123">
        <v>50580</v>
      </c>
      <c r="AG54" s="124">
        <v>0</v>
      </c>
      <c r="AH54" s="265">
        <f>+Janvier!AJ54</f>
        <v>63310.376250000001</v>
      </c>
      <c r="AI54" s="231">
        <f>+Janvier!AK54</f>
        <v>217816.00961538462</v>
      </c>
      <c r="AJ54" s="231">
        <f>+Janvier!AL54</f>
        <v>145065.46240384618</v>
      </c>
      <c r="AK54" s="231">
        <f>+Janvier!AM54</f>
        <v>145065.46240384618</v>
      </c>
      <c r="AL54" s="231">
        <f>+Janvier!AN54</f>
        <v>91482.724038461543</v>
      </c>
      <c r="AM54" s="231">
        <f>+Janvier!AO54</f>
        <v>54454.002403846156</v>
      </c>
      <c r="AN54" s="231">
        <f>+Janvier!AP54</f>
        <v>108908.00480769231</v>
      </c>
      <c r="AO54" s="231">
        <f>+Janvier!AQ54</f>
        <v>54454.002403846156</v>
      </c>
      <c r="AP54" s="231">
        <f>+Janvier!AR54</f>
        <v>54454.002403846156</v>
      </c>
      <c r="AQ54" s="231">
        <f>+Janvier!AS54</f>
        <v>98286.038653846175</v>
      </c>
      <c r="AR54" s="16">
        <f>ROUND(E54/(AH54/15),0)</f>
        <v>5</v>
      </c>
      <c r="AS54" s="16">
        <f t="shared" ref="AS54" si="88">ROUND(H54/(AI54/15),0)</f>
        <v>3</v>
      </c>
      <c r="AT54" s="16">
        <f t="shared" ref="AT54" si="89">ROUND(K54/(AJ54/15),0)</f>
        <v>5</v>
      </c>
      <c r="AU54" s="16">
        <f t="shared" ref="AU54" si="90">ROUND(N54/(AK54/15),0)</f>
        <v>5</v>
      </c>
      <c r="AV54" s="16">
        <f t="shared" ref="AV54" si="91">ROUND(Q54/(AL54/15),0)</f>
        <v>5</v>
      </c>
      <c r="AW54" s="16">
        <f t="shared" ref="AW54" si="92">ROUND(T54/(AM54/15),0)</f>
        <v>5</v>
      </c>
      <c r="AX54" s="16">
        <f t="shared" ref="AX54" si="93">ROUND(W54/(AN54/15),0)</f>
        <v>6</v>
      </c>
      <c r="AY54" s="16">
        <f t="shared" ref="AY54" si="94">ROUND(Z54/(AO54/15),0)</f>
        <v>5</v>
      </c>
      <c r="AZ54" s="16">
        <f t="shared" ref="AZ54" si="95">ROUND(AC54/(AP54/15),0)</f>
        <v>7</v>
      </c>
      <c r="BA54" s="17">
        <f t="shared" ref="BA54" si="96">ROUND(AF54/(AQ54/15),0)</f>
        <v>8</v>
      </c>
    </row>
    <row r="55" spans="1:53" ht="15.6" x14ac:dyDescent="0.3">
      <c r="A55" s="199" t="s">
        <v>21</v>
      </c>
      <c r="B55" s="257">
        <v>43952</v>
      </c>
      <c r="C55" s="233">
        <v>43982</v>
      </c>
      <c r="D55" s="95">
        <v>740</v>
      </c>
      <c r="E55" s="96">
        <v>140</v>
      </c>
      <c r="F55" s="97">
        <v>0</v>
      </c>
      <c r="G55" s="95">
        <v>1920</v>
      </c>
      <c r="H55" s="96">
        <v>680</v>
      </c>
      <c r="I55" s="97">
        <v>0</v>
      </c>
      <c r="J55" s="95">
        <v>2270</v>
      </c>
      <c r="K55" s="96">
        <v>300</v>
      </c>
      <c r="L55" s="97">
        <v>0</v>
      </c>
      <c r="M55" s="95">
        <v>1904</v>
      </c>
      <c r="N55" s="96">
        <v>536</v>
      </c>
      <c r="O55" s="97">
        <v>0</v>
      </c>
      <c r="P55" s="95">
        <v>1150</v>
      </c>
      <c r="Q55" s="96">
        <v>149</v>
      </c>
      <c r="R55" s="97">
        <v>0</v>
      </c>
      <c r="S55" s="95">
        <v>740</v>
      </c>
      <c r="T55" s="96">
        <v>260</v>
      </c>
      <c r="U55" s="97">
        <v>0</v>
      </c>
      <c r="V55" s="95">
        <v>1120</v>
      </c>
      <c r="W55" s="96">
        <v>710</v>
      </c>
      <c r="X55" s="97">
        <v>0</v>
      </c>
      <c r="Y55" s="95">
        <v>700</v>
      </c>
      <c r="Z55" s="96">
        <v>250</v>
      </c>
      <c r="AA55" s="97">
        <v>0</v>
      </c>
      <c r="AB55" s="95">
        <v>100</v>
      </c>
      <c r="AC55" s="96">
        <v>0</v>
      </c>
      <c r="AD55" s="97">
        <v>12</v>
      </c>
      <c r="AE55" s="95">
        <v>590</v>
      </c>
      <c r="AF55" s="96">
        <v>600</v>
      </c>
      <c r="AG55" s="97">
        <v>0</v>
      </c>
      <c r="AH55" s="265">
        <f>+Janvier!AJ55</f>
        <v>1099.4093406593406</v>
      </c>
      <c r="AI55" s="231">
        <f>+Janvier!AK55</f>
        <v>3420.3846153846152</v>
      </c>
      <c r="AJ55" s="231">
        <f>+Janvier!AL55</f>
        <v>2565.2884615384614</v>
      </c>
      <c r="AK55" s="231">
        <f>+Janvier!AM55</f>
        <v>2565.2884615384614</v>
      </c>
      <c r="AL55" s="231">
        <f>+Janvier!AN55</f>
        <v>1554.7202797202797</v>
      </c>
      <c r="AM55" s="231">
        <f>+Janvier!AO55</f>
        <v>961.98317307692309</v>
      </c>
      <c r="AN55" s="231">
        <f>+Janvier!AP55</f>
        <v>1923.9663461538462</v>
      </c>
      <c r="AO55" s="231">
        <f>+Janvier!AQ55</f>
        <v>961.98317307692309</v>
      </c>
      <c r="AP55" s="231">
        <f>+Janvier!AR55</f>
        <v>961.98317307692309</v>
      </c>
      <c r="AQ55" s="231">
        <f>+Janvier!AS55</f>
        <v>1710.1923076923076</v>
      </c>
      <c r="AR55" s="16">
        <f t="shared" ref="AR55:AR67" si="97">ROUND(E55/(AH55/5),0)</f>
        <v>1</v>
      </c>
      <c r="AS55" s="16">
        <f t="shared" ref="AS55:AS67" si="98">ROUND(H55/(AI55/5),0)</f>
        <v>1</v>
      </c>
      <c r="AT55" s="16">
        <f t="shared" ref="AT55:AT67" si="99">ROUND(K55/(AJ55/5),0)</f>
        <v>1</v>
      </c>
      <c r="AU55" s="16">
        <f t="shared" ref="AU55:AU67" si="100">ROUND(N55/(AK55/5),0)</f>
        <v>1</v>
      </c>
      <c r="AV55" s="16">
        <f t="shared" ref="AV55:AV67" si="101">ROUND(Q55/(AL55/5),0)</f>
        <v>0</v>
      </c>
      <c r="AW55" s="16">
        <f t="shared" ref="AW55:AW67" si="102">ROUND(T55/(AM55/5),0)</f>
        <v>1</v>
      </c>
      <c r="AX55" s="16">
        <f t="shared" ref="AX55:AX67" si="103">ROUND(W55/(AN55/5),0)</f>
        <v>2</v>
      </c>
      <c r="AY55" s="16">
        <f t="shared" ref="AY55:AY67" si="104">ROUND(Z55/(AO55/5),0)</f>
        <v>1</v>
      </c>
      <c r="AZ55" s="16">
        <f t="shared" ref="AZ55:AZ67" si="105">ROUND(AC55/(AP55/5),0)</f>
        <v>0</v>
      </c>
      <c r="BA55" s="17">
        <f t="shared" ref="BA55:BA67" si="106">ROUND(AF55/(AQ55/5),0)</f>
        <v>2</v>
      </c>
    </row>
    <row r="56" spans="1:53" ht="15.6" x14ac:dyDescent="0.3">
      <c r="A56" s="199" t="s">
        <v>22</v>
      </c>
      <c r="B56" s="257">
        <v>43952</v>
      </c>
      <c r="C56" s="233">
        <v>43982</v>
      </c>
      <c r="D56" s="95">
        <v>480</v>
      </c>
      <c r="E56" s="96">
        <v>40</v>
      </c>
      <c r="F56" s="97">
        <v>0</v>
      </c>
      <c r="G56" s="95">
        <v>1800</v>
      </c>
      <c r="H56" s="96">
        <v>220</v>
      </c>
      <c r="I56" s="97">
        <v>0</v>
      </c>
      <c r="J56" s="95">
        <v>1500</v>
      </c>
      <c r="K56" s="96">
        <v>100</v>
      </c>
      <c r="L56" s="97">
        <v>0</v>
      </c>
      <c r="M56" s="95">
        <v>1460</v>
      </c>
      <c r="N56" s="96">
        <v>160</v>
      </c>
      <c r="O56" s="97">
        <v>0</v>
      </c>
      <c r="P56" s="95">
        <v>650</v>
      </c>
      <c r="Q56" s="96">
        <v>68</v>
      </c>
      <c r="R56" s="97">
        <v>0</v>
      </c>
      <c r="S56" s="95">
        <v>730</v>
      </c>
      <c r="T56" s="96">
        <v>380</v>
      </c>
      <c r="U56" s="97">
        <v>0</v>
      </c>
      <c r="V56" s="95">
        <v>800</v>
      </c>
      <c r="W56" s="96">
        <v>230</v>
      </c>
      <c r="X56" s="97">
        <v>0</v>
      </c>
      <c r="Y56" s="95">
        <v>600</v>
      </c>
      <c r="Z56" s="96">
        <v>220</v>
      </c>
      <c r="AA56" s="97">
        <v>0</v>
      </c>
      <c r="AB56" s="95">
        <v>400</v>
      </c>
      <c r="AC56" s="96">
        <v>0</v>
      </c>
      <c r="AD56" s="97">
        <v>2</v>
      </c>
      <c r="AE56" s="95">
        <v>910</v>
      </c>
      <c r="AF56" s="96">
        <v>420</v>
      </c>
      <c r="AG56" s="97">
        <v>0</v>
      </c>
      <c r="AH56" s="265">
        <f>+Janvier!AJ56</f>
        <v>434.54670329670336</v>
      </c>
      <c r="AI56" s="231">
        <f>+Janvier!AK56</f>
        <v>1351.9230769230767</v>
      </c>
      <c r="AJ56" s="231">
        <f>+Janvier!AL56</f>
        <v>1013.9423076923077</v>
      </c>
      <c r="AK56" s="231">
        <f>+Janvier!AM56</f>
        <v>1013.9423076923077</v>
      </c>
      <c r="AL56" s="231">
        <f>+Janvier!AN56</f>
        <v>614.51048951048949</v>
      </c>
      <c r="AM56" s="231">
        <f>+Janvier!AO56</f>
        <v>380.22836538461542</v>
      </c>
      <c r="AN56" s="231">
        <f>+Janvier!AP56</f>
        <v>760.45673076923083</v>
      </c>
      <c r="AO56" s="231">
        <f>+Janvier!AQ56</f>
        <v>380.22836538461542</v>
      </c>
      <c r="AP56" s="231">
        <f>+Janvier!AR56</f>
        <v>380.22836538461542</v>
      </c>
      <c r="AQ56" s="231">
        <f>+Janvier!AS56</f>
        <v>675.96153846153834</v>
      </c>
      <c r="AR56" s="16">
        <f t="shared" si="97"/>
        <v>0</v>
      </c>
      <c r="AS56" s="16">
        <f t="shared" si="98"/>
        <v>1</v>
      </c>
      <c r="AT56" s="16">
        <f t="shared" si="99"/>
        <v>0</v>
      </c>
      <c r="AU56" s="16">
        <f t="shared" si="100"/>
        <v>1</v>
      </c>
      <c r="AV56" s="16">
        <f t="shared" si="101"/>
        <v>1</v>
      </c>
      <c r="AW56" s="16">
        <f t="shared" si="102"/>
        <v>5</v>
      </c>
      <c r="AX56" s="16">
        <f t="shared" si="103"/>
        <v>2</v>
      </c>
      <c r="AY56" s="16">
        <f t="shared" si="104"/>
        <v>3</v>
      </c>
      <c r="AZ56" s="16">
        <f t="shared" si="105"/>
        <v>0</v>
      </c>
      <c r="BA56" s="17">
        <f t="shared" si="106"/>
        <v>3</v>
      </c>
    </row>
    <row r="57" spans="1:53" ht="15.6" x14ac:dyDescent="0.3">
      <c r="A57" s="199" t="s">
        <v>25</v>
      </c>
      <c r="B57" s="257">
        <v>43952</v>
      </c>
      <c r="C57" s="233">
        <v>43982</v>
      </c>
      <c r="D57" s="95">
        <v>980</v>
      </c>
      <c r="E57" s="96">
        <v>340</v>
      </c>
      <c r="F57" s="97">
        <v>0</v>
      </c>
      <c r="G57" s="95">
        <v>2020</v>
      </c>
      <c r="H57" s="96">
        <v>200</v>
      </c>
      <c r="I57" s="97">
        <v>0</v>
      </c>
      <c r="J57" s="95">
        <v>1450</v>
      </c>
      <c r="K57" s="96">
        <v>330</v>
      </c>
      <c r="L57" s="97">
        <v>0</v>
      </c>
      <c r="M57" s="95">
        <v>2556</v>
      </c>
      <c r="N57" s="96">
        <v>1204</v>
      </c>
      <c r="O57" s="97">
        <v>0</v>
      </c>
      <c r="P57" s="95">
        <v>700</v>
      </c>
      <c r="Q57" s="96">
        <v>18</v>
      </c>
      <c r="R57" s="97">
        <v>0</v>
      </c>
      <c r="S57" s="95">
        <v>680</v>
      </c>
      <c r="T57" s="96">
        <v>210</v>
      </c>
      <c r="U57" s="97">
        <v>0</v>
      </c>
      <c r="V57" s="95">
        <v>1150</v>
      </c>
      <c r="W57" s="96">
        <v>460</v>
      </c>
      <c r="X57" s="97">
        <v>0</v>
      </c>
      <c r="Y57" s="95">
        <v>570</v>
      </c>
      <c r="Z57" s="96">
        <v>170</v>
      </c>
      <c r="AA57" s="97">
        <v>0</v>
      </c>
      <c r="AB57" s="95">
        <v>190</v>
      </c>
      <c r="AC57" s="96">
        <v>10</v>
      </c>
      <c r="AD57" s="97">
        <v>0</v>
      </c>
      <c r="AE57" s="95">
        <v>1580</v>
      </c>
      <c r="AF57" s="96">
        <v>980</v>
      </c>
      <c r="AG57" s="97">
        <v>0</v>
      </c>
      <c r="AH57" s="265">
        <f>+Janvier!AJ57</f>
        <v>816.30494505494516</v>
      </c>
      <c r="AI57" s="231">
        <f>+Janvier!AK57</f>
        <v>2539.6153846153848</v>
      </c>
      <c r="AJ57" s="231">
        <f>+Janvier!AL57</f>
        <v>1904.7115384615383</v>
      </c>
      <c r="AK57" s="231">
        <f>+Janvier!AM57</f>
        <v>1904.7115384615383</v>
      </c>
      <c r="AL57" s="231">
        <f>+Janvier!AN57</f>
        <v>1154.3706293706296</v>
      </c>
      <c r="AM57" s="231">
        <f>+Janvier!AO57</f>
        <v>714.26682692307691</v>
      </c>
      <c r="AN57" s="231">
        <f>+Janvier!AP57</f>
        <v>1428.5336538461538</v>
      </c>
      <c r="AO57" s="231">
        <f>+Janvier!AQ57</f>
        <v>714.26682692307691</v>
      </c>
      <c r="AP57" s="231">
        <f>+Janvier!AR57</f>
        <v>714.26682692307691</v>
      </c>
      <c r="AQ57" s="231">
        <f>+Janvier!AS57</f>
        <v>1269.8076923076924</v>
      </c>
      <c r="AR57" s="16">
        <f t="shared" si="97"/>
        <v>2</v>
      </c>
      <c r="AS57" s="16">
        <f t="shared" si="98"/>
        <v>0</v>
      </c>
      <c r="AT57" s="16">
        <f t="shared" si="99"/>
        <v>1</v>
      </c>
      <c r="AU57" s="16">
        <f t="shared" si="100"/>
        <v>3</v>
      </c>
      <c r="AV57" s="16">
        <f t="shared" si="101"/>
        <v>0</v>
      </c>
      <c r="AW57" s="16">
        <f t="shared" si="102"/>
        <v>1</v>
      </c>
      <c r="AX57" s="16">
        <f t="shared" si="103"/>
        <v>2</v>
      </c>
      <c r="AY57" s="16">
        <f t="shared" si="104"/>
        <v>1</v>
      </c>
      <c r="AZ57" s="16">
        <f t="shared" si="105"/>
        <v>0</v>
      </c>
      <c r="BA57" s="17">
        <f t="shared" si="106"/>
        <v>4</v>
      </c>
    </row>
    <row r="58" spans="1:53" ht="15.6" x14ac:dyDescent="0.3">
      <c r="A58" s="199" t="s">
        <v>23</v>
      </c>
      <c r="B58" s="257">
        <v>43952</v>
      </c>
      <c r="C58" s="233">
        <v>43982</v>
      </c>
      <c r="D58" s="95">
        <v>0</v>
      </c>
      <c r="E58" s="96">
        <v>1300</v>
      </c>
      <c r="F58" s="97">
        <v>0</v>
      </c>
      <c r="G58" s="95">
        <v>0</v>
      </c>
      <c r="H58" s="96">
        <v>4400</v>
      </c>
      <c r="I58" s="97">
        <v>0</v>
      </c>
      <c r="J58" s="95">
        <v>0</v>
      </c>
      <c r="K58" s="96">
        <v>3260</v>
      </c>
      <c r="L58" s="97">
        <v>0</v>
      </c>
      <c r="M58" s="95">
        <v>0</v>
      </c>
      <c r="N58" s="96">
        <v>3108</v>
      </c>
      <c r="O58" s="97">
        <v>0</v>
      </c>
      <c r="P58" s="95">
        <v>0</v>
      </c>
      <c r="Q58" s="96">
        <v>1837</v>
      </c>
      <c r="R58" s="97">
        <v>0</v>
      </c>
      <c r="S58" s="95">
        <v>0</v>
      </c>
      <c r="T58" s="96">
        <v>1060</v>
      </c>
      <c r="U58" s="97">
        <v>0</v>
      </c>
      <c r="V58" s="95">
        <v>0</v>
      </c>
      <c r="W58" s="96">
        <v>2340</v>
      </c>
      <c r="X58" s="97">
        <v>0</v>
      </c>
      <c r="Y58" s="95">
        <v>0</v>
      </c>
      <c r="Z58" s="96">
        <v>1180</v>
      </c>
      <c r="AA58" s="97">
        <v>0</v>
      </c>
      <c r="AB58" s="95">
        <v>0</v>
      </c>
      <c r="AC58" s="96">
        <v>1080</v>
      </c>
      <c r="AD58" s="97">
        <v>0</v>
      </c>
      <c r="AE58" s="95">
        <v>0</v>
      </c>
      <c r="AF58" s="96">
        <v>2030</v>
      </c>
      <c r="AG58" s="97">
        <v>0</v>
      </c>
      <c r="AH58" s="265">
        <f>+Janvier!AJ58</f>
        <v>510.08241758241758</v>
      </c>
      <c r="AI58" s="231">
        <f>+Janvier!AK58</f>
        <v>1586.9230769230767</v>
      </c>
      <c r="AJ58" s="231">
        <f>+Janvier!AL58</f>
        <v>1190.1923076923078</v>
      </c>
      <c r="AK58" s="231">
        <f>+Janvier!AM58</f>
        <v>1190.1923076923078</v>
      </c>
      <c r="AL58" s="231">
        <f>+Janvier!AN58</f>
        <v>721.32867132867148</v>
      </c>
      <c r="AM58" s="231">
        <f>+Janvier!AO58</f>
        <v>446.32211538461542</v>
      </c>
      <c r="AN58" s="231">
        <f>+Janvier!AP58</f>
        <v>892.64423076923083</v>
      </c>
      <c r="AO58" s="231">
        <f>+Janvier!AQ58</f>
        <v>446.32211538461542</v>
      </c>
      <c r="AP58" s="231">
        <f>+Janvier!AR58</f>
        <v>446.32211538461542</v>
      </c>
      <c r="AQ58" s="231">
        <f>+Janvier!AS58</f>
        <v>793.46153846153834</v>
      </c>
      <c r="AR58" s="16">
        <f t="shared" si="97"/>
        <v>13</v>
      </c>
      <c r="AS58" s="16">
        <f t="shared" si="98"/>
        <v>14</v>
      </c>
      <c r="AT58" s="16">
        <f t="shared" si="99"/>
        <v>14</v>
      </c>
      <c r="AU58" s="16">
        <f t="shared" si="100"/>
        <v>13</v>
      </c>
      <c r="AV58" s="16">
        <f t="shared" si="101"/>
        <v>13</v>
      </c>
      <c r="AW58" s="16">
        <f t="shared" si="102"/>
        <v>12</v>
      </c>
      <c r="AX58" s="16">
        <f t="shared" si="103"/>
        <v>13</v>
      </c>
      <c r="AY58" s="16">
        <f t="shared" si="104"/>
        <v>13</v>
      </c>
      <c r="AZ58" s="16">
        <f t="shared" si="105"/>
        <v>12</v>
      </c>
      <c r="BA58" s="17">
        <f t="shared" si="106"/>
        <v>13</v>
      </c>
    </row>
    <row r="59" spans="1:53" ht="15.6" x14ac:dyDescent="0.3">
      <c r="A59" s="199" t="s">
        <v>24</v>
      </c>
      <c r="B59" s="257">
        <v>43952</v>
      </c>
      <c r="C59" s="233">
        <v>43982</v>
      </c>
      <c r="D59" s="95">
        <v>1000</v>
      </c>
      <c r="E59" s="96">
        <v>400</v>
      </c>
      <c r="F59" s="97">
        <v>0</v>
      </c>
      <c r="G59" s="95">
        <v>2220</v>
      </c>
      <c r="H59" s="96">
        <v>1300</v>
      </c>
      <c r="I59" s="97">
        <v>0</v>
      </c>
      <c r="J59" s="95">
        <v>1470</v>
      </c>
      <c r="K59" s="96">
        <v>900</v>
      </c>
      <c r="L59" s="97">
        <v>0</v>
      </c>
      <c r="M59" s="95">
        <v>1524</v>
      </c>
      <c r="N59" s="96">
        <v>944</v>
      </c>
      <c r="O59" s="97">
        <v>0</v>
      </c>
      <c r="P59" s="95">
        <v>1000</v>
      </c>
      <c r="Q59" s="96">
        <v>674</v>
      </c>
      <c r="R59" s="97">
        <v>0</v>
      </c>
      <c r="S59" s="95">
        <v>520</v>
      </c>
      <c r="T59" s="96">
        <v>340</v>
      </c>
      <c r="U59" s="97">
        <v>0</v>
      </c>
      <c r="V59" s="95">
        <v>1150</v>
      </c>
      <c r="W59" s="96">
        <v>470</v>
      </c>
      <c r="X59" s="97">
        <v>0</v>
      </c>
      <c r="Y59" s="95">
        <v>620</v>
      </c>
      <c r="Z59" s="96">
        <v>400</v>
      </c>
      <c r="AA59" s="97">
        <v>0</v>
      </c>
      <c r="AB59" s="95">
        <v>400</v>
      </c>
      <c r="AC59" s="96">
        <v>150</v>
      </c>
      <c r="AD59" s="97">
        <v>0</v>
      </c>
      <c r="AE59" s="95">
        <v>1020</v>
      </c>
      <c r="AF59" s="96">
        <v>500</v>
      </c>
      <c r="AG59" s="97">
        <v>0</v>
      </c>
      <c r="AH59" s="265">
        <f>+Janvier!AJ59</f>
        <v>646.8131868131868</v>
      </c>
      <c r="AI59" s="231">
        <f>+Janvier!AK59</f>
        <v>2012.3076923076924</v>
      </c>
      <c r="AJ59" s="231">
        <f>+Janvier!AL59</f>
        <v>1509.2307692307693</v>
      </c>
      <c r="AK59" s="231">
        <f>+Janvier!AM59</f>
        <v>1509.2307692307693</v>
      </c>
      <c r="AL59" s="231">
        <f>+Janvier!AN59</f>
        <v>914.68531468531478</v>
      </c>
      <c r="AM59" s="231">
        <f>+Janvier!AO59</f>
        <v>565.96153846153845</v>
      </c>
      <c r="AN59" s="231">
        <f>+Janvier!AP59</f>
        <v>1131.9230769230769</v>
      </c>
      <c r="AO59" s="231">
        <f>+Janvier!AQ59</f>
        <v>565.96153846153845</v>
      </c>
      <c r="AP59" s="231">
        <f>+Janvier!AR59</f>
        <v>565.96153846153845</v>
      </c>
      <c r="AQ59" s="231">
        <f>+Janvier!AS59</f>
        <v>1006.1538461538462</v>
      </c>
      <c r="AR59" s="16">
        <f t="shared" si="97"/>
        <v>3</v>
      </c>
      <c r="AS59" s="16">
        <f t="shared" si="98"/>
        <v>3</v>
      </c>
      <c r="AT59" s="16">
        <f t="shared" si="99"/>
        <v>3</v>
      </c>
      <c r="AU59" s="16">
        <f t="shared" si="100"/>
        <v>3</v>
      </c>
      <c r="AV59" s="16">
        <f t="shared" si="101"/>
        <v>4</v>
      </c>
      <c r="AW59" s="16">
        <f t="shared" si="102"/>
        <v>3</v>
      </c>
      <c r="AX59" s="16">
        <f t="shared" si="103"/>
        <v>2</v>
      </c>
      <c r="AY59" s="16">
        <f t="shared" si="104"/>
        <v>4</v>
      </c>
      <c r="AZ59" s="16">
        <f t="shared" si="105"/>
        <v>1</v>
      </c>
      <c r="BA59" s="17">
        <f t="shared" si="106"/>
        <v>2</v>
      </c>
    </row>
    <row r="60" spans="1:53" ht="15.6" x14ac:dyDescent="0.3">
      <c r="A60" s="199" t="s">
        <v>26</v>
      </c>
      <c r="B60" s="257">
        <v>43952</v>
      </c>
      <c r="C60" s="233">
        <v>43982</v>
      </c>
      <c r="D60" s="95">
        <v>1800</v>
      </c>
      <c r="E60" s="96">
        <v>720</v>
      </c>
      <c r="F60" s="97">
        <v>0</v>
      </c>
      <c r="G60" s="95">
        <v>4000</v>
      </c>
      <c r="H60" s="96">
        <v>2340</v>
      </c>
      <c r="I60" s="97">
        <v>0</v>
      </c>
      <c r="J60" s="95">
        <v>2500</v>
      </c>
      <c r="K60" s="96">
        <v>2000</v>
      </c>
      <c r="L60" s="97">
        <v>0</v>
      </c>
      <c r="M60" s="95">
        <v>2600</v>
      </c>
      <c r="N60" s="96">
        <v>2068</v>
      </c>
      <c r="O60" s="97">
        <v>0</v>
      </c>
      <c r="P60" s="95">
        <v>1800</v>
      </c>
      <c r="Q60" s="96">
        <v>1514</v>
      </c>
      <c r="R60" s="97">
        <v>0</v>
      </c>
      <c r="S60" s="95">
        <v>400</v>
      </c>
      <c r="T60" s="96">
        <v>710</v>
      </c>
      <c r="U60" s="97">
        <v>0</v>
      </c>
      <c r="V60" s="95">
        <v>1000</v>
      </c>
      <c r="W60" s="96">
        <v>2430</v>
      </c>
      <c r="X60" s="97">
        <v>0</v>
      </c>
      <c r="Y60" s="95">
        <v>1000</v>
      </c>
      <c r="Z60" s="96">
        <v>880</v>
      </c>
      <c r="AA60" s="97">
        <v>0</v>
      </c>
      <c r="AB60" s="95">
        <v>100</v>
      </c>
      <c r="AC60" s="96">
        <v>0</v>
      </c>
      <c r="AD60" s="97">
        <v>12</v>
      </c>
      <c r="AE60" s="95">
        <v>500</v>
      </c>
      <c r="AF60" s="96">
        <v>2410</v>
      </c>
      <c r="AG60" s="97">
        <v>0</v>
      </c>
      <c r="AH60" s="265">
        <f>+Janvier!AJ60</f>
        <v>2337.1565934065934</v>
      </c>
      <c r="AI60" s="231">
        <f>+Janvier!AK60</f>
        <v>7271.1538461538466</v>
      </c>
      <c r="AJ60" s="231">
        <f>+Janvier!AL60</f>
        <v>5453.3653846153848</v>
      </c>
      <c r="AK60" s="231">
        <f>+Janvier!AM60</f>
        <v>5453.3653846153848</v>
      </c>
      <c r="AL60" s="231">
        <f>+Janvier!AN60</f>
        <v>3305.0699300699303</v>
      </c>
      <c r="AM60" s="231">
        <f>+Janvier!AO60</f>
        <v>2045.0120192307693</v>
      </c>
      <c r="AN60" s="231">
        <f>+Janvier!AP60</f>
        <v>4090.0240384615386</v>
      </c>
      <c r="AO60" s="231">
        <f>+Janvier!AQ60</f>
        <v>2045.0120192307693</v>
      </c>
      <c r="AP60" s="231">
        <f>+Janvier!AR60</f>
        <v>2045.0120192307693</v>
      </c>
      <c r="AQ60" s="231">
        <f>+Janvier!AS60</f>
        <v>3635.5769230769233</v>
      </c>
      <c r="AR60" s="16">
        <f t="shared" si="97"/>
        <v>2</v>
      </c>
      <c r="AS60" s="16">
        <f t="shared" si="98"/>
        <v>2</v>
      </c>
      <c r="AT60" s="16">
        <f t="shared" si="99"/>
        <v>2</v>
      </c>
      <c r="AU60" s="16">
        <f t="shared" si="100"/>
        <v>2</v>
      </c>
      <c r="AV60" s="16">
        <f t="shared" si="101"/>
        <v>2</v>
      </c>
      <c r="AW60" s="16">
        <f t="shared" si="102"/>
        <v>2</v>
      </c>
      <c r="AX60" s="16">
        <f t="shared" si="103"/>
        <v>3</v>
      </c>
      <c r="AY60" s="16">
        <f t="shared" si="104"/>
        <v>2</v>
      </c>
      <c r="AZ60" s="16">
        <f t="shared" si="105"/>
        <v>0</v>
      </c>
      <c r="BA60" s="17">
        <f t="shared" si="106"/>
        <v>3</v>
      </c>
    </row>
    <row r="61" spans="1:53" ht="15.6" x14ac:dyDescent="0.3">
      <c r="A61" s="199" t="s">
        <v>27</v>
      </c>
      <c r="B61" s="257">
        <v>43952</v>
      </c>
      <c r="C61" s="233">
        <v>43982</v>
      </c>
      <c r="D61" s="95">
        <v>1360</v>
      </c>
      <c r="E61" s="96">
        <v>1020</v>
      </c>
      <c r="F61" s="97">
        <v>0</v>
      </c>
      <c r="G61" s="95">
        <v>3440</v>
      </c>
      <c r="H61" s="96">
        <v>3020</v>
      </c>
      <c r="I61" s="97">
        <v>0</v>
      </c>
      <c r="J61" s="95">
        <v>2500</v>
      </c>
      <c r="K61" s="96">
        <v>2250</v>
      </c>
      <c r="L61" s="97">
        <v>0</v>
      </c>
      <c r="M61" s="95">
        <v>2300</v>
      </c>
      <c r="N61" s="96">
        <v>2228</v>
      </c>
      <c r="O61" s="97">
        <v>0</v>
      </c>
      <c r="P61" s="95">
        <v>1650</v>
      </c>
      <c r="Q61" s="96">
        <v>1287</v>
      </c>
      <c r="R61" s="97">
        <v>0</v>
      </c>
      <c r="S61" s="95">
        <v>730</v>
      </c>
      <c r="T61" s="96">
        <v>760</v>
      </c>
      <c r="U61" s="97">
        <v>0</v>
      </c>
      <c r="V61" s="95">
        <v>1700</v>
      </c>
      <c r="W61" s="96">
        <v>2000</v>
      </c>
      <c r="X61" s="97">
        <v>0</v>
      </c>
      <c r="Y61" s="95">
        <v>390</v>
      </c>
      <c r="Z61" s="96">
        <v>730</v>
      </c>
      <c r="AA61" s="97">
        <v>0</v>
      </c>
      <c r="AB61" s="95">
        <v>0</v>
      </c>
      <c r="AC61" s="96">
        <v>60</v>
      </c>
      <c r="AD61" s="97">
        <v>0</v>
      </c>
      <c r="AE61" s="95">
        <v>1190</v>
      </c>
      <c r="AF61" s="96">
        <v>2430</v>
      </c>
      <c r="AG61" s="97">
        <v>0</v>
      </c>
      <c r="AH61" s="265">
        <f>+Janvier!AJ61</f>
        <v>1836.5934065934064</v>
      </c>
      <c r="AI61" s="231">
        <f>+Janvier!AK61</f>
        <v>5713.8461538461534</v>
      </c>
      <c r="AJ61" s="231">
        <f>+Janvier!AL61</f>
        <v>4285.3846153846152</v>
      </c>
      <c r="AK61" s="231">
        <f>+Janvier!AM61</f>
        <v>4285.3846153846152</v>
      </c>
      <c r="AL61" s="231">
        <f>+Janvier!AN61</f>
        <v>2597.2027972027972</v>
      </c>
      <c r="AM61" s="231">
        <f>+Janvier!AO61</f>
        <v>1607.0192307692307</v>
      </c>
      <c r="AN61" s="231">
        <f>+Janvier!AP61</f>
        <v>3214.0384615384614</v>
      </c>
      <c r="AO61" s="231">
        <f>+Janvier!AQ61</f>
        <v>1607.0192307692307</v>
      </c>
      <c r="AP61" s="231">
        <f>+Janvier!AR61</f>
        <v>1607.0192307692307</v>
      </c>
      <c r="AQ61" s="231">
        <f>+Janvier!AS61</f>
        <v>2856.9230769230767</v>
      </c>
      <c r="AR61" s="16">
        <f t="shared" si="97"/>
        <v>3</v>
      </c>
      <c r="AS61" s="16">
        <f t="shared" si="98"/>
        <v>3</v>
      </c>
      <c r="AT61" s="16">
        <f t="shared" si="99"/>
        <v>3</v>
      </c>
      <c r="AU61" s="16">
        <f t="shared" si="100"/>
        <v>3</v>
      </c>
      <c r="AV61" s="16">
        <f t="shared" si="101"/>
        <v>2</v>
      </c>
      <c r="AW61" s="16">
        <f t="shared" si="102"/>
        <v>2</v>
      </c>
      <c r="AX61" s="16">
        <f t="shared" si="103"/>
        <v>3</v>
      </c>
      <c r="AY61" s="16">
        <f t="shared" si="104"/>
        <v>2</v>
      </c>
      <c r="AZ61" s="16">
        <f t="shared" si="105"/>
        <v>0</v>
      </c>
      <c r="BA61" s="17">
        <f t="shared" si="106"/>
        <v>4</v>
      </c>
    </row>
    <row r="62" spans="1:53" ht="15.6" x14ac:dyDescent="0.3">
      <c r="A62" s="199" t="s">
        <v>28</v>
      </c>
      <c r="B62" s="257">
        <v>43952</v>
      </c>
      <c r="C62" s="233">
        <v>43982</v>
      </c>
      <c r="D62" s="95">
        <v>2620</v>
      </c>
      <c r="E62" s="98">
        <v>160</v>
      </c>
      <c r="F62" s="97">
        <v>0</v>
      </c>
      <c r="G62" s="99">
        <v>6480</v>
      </c>
      <c r="H62" s="98">
        <v>3360</v>
      </c>
      <c r="I62" s="97">
        <v>0</v>
      </c>
      <c r="J62" s="99">
        <v>6480</v>
      </c>
      <c r="K62" s="98">
        <v>2000</v>
      </c>
      <c r="L62" s="97">
        <v>0</v>
      </c>
      <c r="M62" s="99">
        <v>5500</v>
      </c>
      <c r="N62" s="98">
        <v>1896</v>
      </c>
      <c r="O62" s="97">
        <v>0</v>
      </c>
      <c r="P62" s="99">
        <v>3800</v>
      </c>
      <c r="Q62" s="98">
        <v>1230</v>
      </c>
      <c r="R62" s="97">
        <v>0</v>
      </c>
      <c r="S62" s="99">
        <v>2020</v>
      </c>
      <c r="T62" s="98">
        <v>640</v>
      </c>
      <c r="U62" s="97">
        <v>0</v>
      </c>
      <c r="V62" s="99">
        <v>2710</v>
      </c>
      <c r="W62" s="98">
        <v>2640</v>
      </c>
      <c r="X62" s="97">
        <v>0</v>
      </c>
      <c r="Y62" s="99">
        <v>2400</v>
      </c>
      <c r="Z62" s="98">
        <v>850</v>
      </c>
      <c r="AA62" s="97">
        <v>0</v>
      </c>
      <c r="AB62" s="95">
        <v>100</v>
      </c>
      <c r="AC62" s="98">
        <v>0</v>
      </c>
      <c r="AD62" s="100">
        <v>28</v>
      </c>
      <c r="AE62" s="99">
        <v>2540</v>
      </c>
      <c r="AF62" s="98">
        <v>2530</v>
      </c>
      <c r="AG62" s="97">
        <v>0</v>
      </c>
      <c r="AH62" s="265">
        <f>+Janvier!AJ62</f>
        <v>3546.2225274725279</v>
      </c>
      <c r="AI62" s="231">
        <f>+Janvier!AK62</f>
        <v>11032.692307692307</v>
      </c>
      <c r="AJ62" s="231">
        <f>+Janvier!AL62</f>
        <v>8274.5192307692305</v>
      </c>
      <c r="AK62" s="231">
        <f>+Janvier!AM62</f>
        <v>8274.5192307692305</v>
      </c>
      <c r="AL62" s="231">
        <f>+Janvier!AN62</f>
        <v>5014.8601398601395</v>
      </c>
      <c r="AM62" s="231">
        <f>+Janvier!AO62</f>
        <v>3102.9447115384614</v>
      </c>
      <c r="AN62" s="231">
        <f>+Janvier!AP62</f>
        <v>6205.8894230769229</v>
      </c>
      <c r="AO62" s="231">
        <f>+Janvier!AQ62</f>
        <v>3102.9447115384614</v>
      </c>
      <c r="AP62" s="231">
        <f>+Janvier!AR62</f>
        <v>3102.9447115384614</v>
      </c>
      <c r="AQ62" s="231">
        <f>+Janvier!AS62</f>
        <v>5516.3461538461534</v>
      </c>
      <c r="AR62" s="16">
        <f t="shared" si="97"/>
        <v>0</v>
      </c>
      <c r="AS62" s="16">
        <f t="shared" si="98"/>
        <v>2</v>
      </c>
      <c r="AT62" s="16">
        <f t="shared" si="99"/>
        <v>1</v>
      </c>
      <c r="AU62" s="16">
        <f t="shared" si="100"/>
        <v>1</v>
      </c>
      <c r="AV62" s="16">
        <f t="shared" si="101"/>
        <v>1</v>
      </c>
      <c r="AW62" s="16">
        <f t="shared" si="102"/>
        <v>1</v>
      </c>
      <c r="AX62" s="16">
        <f t="shared" si="103"/>
        <v>2</v>
      </c>
      <c r="AY62" s="16">
        <f t="shared" si="104"/>
        <v>1</v>
      </c>
      <c r="AZ62" s="16">
        <f t="shared" si="105"/>
        <v>0</v>
      </c>
      <c r="BA62" s="17">
        <f t="shared" si="106"/>
        <v>2</v>
      </c>
    </row>
    <row r="63" spans="1:53" ht="15.6" x14ac:dyDescent="0.3">
      <c r="A63" s="199" t="s">
        <v>29</v>
      </c>
      <c r="B63" s="257">
        <v>43952</v>
      </c>
      <c r="C63" s="233">
        <v>43982</v>
      </c>
      <c r="D63" s="95">
        <v>1960</v>
      </c>
      <c r="E63" s="98">
        <v>960</v>
      </c>
      <c r="F63" s="97">
        <v>0</v>
      </c>
      <c r="G63" s="99">
        <v>4320</v>
      </c>
      <c r="H63" s="98">
        <v>2340</v>
      </c>
      <c r="I63" s="97">
        <v>0</v>
      </c>
      <c r="J63" s="99">
        <v>2900</v>
      </c>
      <c r="K63" s="98">
        <v>2170</v>
      </c>
      <c r="L63" s="97">
        <v>0</v>
      </c>
      <c r="M63" s="99">
        <v>2900</v>
      </c>
      <c r="N63" s="98">
        <v>2352</v>
      </c>
      <c r="O63" s="97">
        <v>0</v>
      </c>
      <c r="P63" s="99">
        <v>1900</v>
      </c>
      <c r="Q63" s="98">
        <v>1831</v>
      </c>
      <c r="R63" s="97">
        <v>0</v>
      </c>
      <c r="S63" s="99">
        <v>840</v>
      </c>
      <c r="T63" s="98">
        <v>400</v>
      </c>
      <c r="U63" s="97">
        <v>0</v>
      </c>
      <c r="V63" s="99">
        <v>2300</v>
      </c>
      <c r="W63" s="98">
        <v>2420</v>
      </c>
      <c r="X63" s="97">
        <v>0</v>
      </c>
      <c r="Y63" s="99">
        <v>1680</v>
      </c>
      <c r="Z63" s="98">
        <v>1120</v>
      </c>
      <c r="AA63" s="97">
        <v>0</v>
      </c>
      <c r="AB63" s="95">
        <v>100</v>
      </c>
      <c r="AC63" s="98">
        <v>0</v>
      </c>
      <c r="AD63" s="97">
        <v>20</v>
      </c>
      <c r="AE63" s="99">
        <v>2510</v>
      </c>
      <c r="AF63" s="98">
        <v>2790</v>
      </c>
      <c r="AG63" s="97">
        <v>0</v>
      </c>
      <c r="AH63" s="265">
        <f>+Janvier!AJ63</f>
        <v>2493.4203296703299</v>
      </c>
      <c r="AI63" s="231">
        <f>+Janvier!AK63</f>
        <v>7757.3076923076942</v>
      </c>
      <c r="AJ63" s="231">
        <f>+Janvier!AL63</f>
        <v>5817.9807692307704</v>
      </c>
      <c r="AK63" s="231">
        <f>+Janvier!AM63</f>
        <v>5817.9807692307704</v>
      </c>
      <c r="AL63" s="231">
        <f>+Janvier!AN63</f>
        <v>3526.0489510489515</v>
      </c>
      <c r="AM63" s="231">
        <f>+Janvier!AO63</f>
        <v>2181.7427884615386</v>
      </c>
      <c r="AN63" s="231">
        <f>+Janvier!AP63</f>
        <v>4363.4855769230771</v>
      </c>
      <c r="AO63" s="231">
        <f>+Janvier!AQ63</f>
        <v>2181.7427884615386</v>
      </c>
      <c r="AP63" s="231">
        <f>+Janvier!AR63</f>
        <v>2181.7427884615386</v>
      </c>
      <c r="AQ63" s="231">
        <f>+Janvier!AS63</f>
        <v>3878.6538461538471</v>
      </c>
      <c r="AR63" s="16">
        <f t="shared" si="97"/>
        <v>2</v>
      </c>
      <c r="AS63" s="16">
        <f t="shared" si="98"/>
        <v>2</v>
      </c>
      <c r="AT63" s="16">
        <f t="shared" si="99"/>
        <v>2</v>
      </c>
      <c r="AU63" s="16">
        <f t="shared" si="100"/>
        <v>2</v>
      </c>
      <c r="AV63" s="16">
        <f t="shared" si="101"/>
        <v>3</v>
      </c>
      <c r="AW63" s="16">
        <f t="shared" si="102"/>
        <v>1</v>
      </c>
      <c r="AX63" s="16">
        <f t="shared" si="103"/>
        <v>3</v>
      </c>
      <c r="AY63" s="16">
        <f t="shared" si="104"/>
        <v>3</v>
      </c>
      <c r="AZ63" s="16">
        <f t="shared" si="105"/>
        <v>0</v>
      </c>
      <c r="BA63" s="17">
        <f t="shared" si="106"/>
        <v>4</v>
      </c>
    </row>
    <row r="64" spans="1:53" ht="15.6" x14ac:dyDescent="0.3">
      <c r="A64" s="199" t="s">
        <v>30</v>
      </c>
      <c r="B64" s="257">
        <v>43952</v>
      </c>
      <c r="C64" s="233">
        <v>43982</v>
      </c>
      <c r="D64" s="95">
        <v>740</v>
      </c>
      <c r="E64" s="98">
        <v>580</v>
      </c>
      <c r="F64" s="97">
        <v>0</v>
      </c>
      <c r="G64" s="99">
        <v>1620</v>
      </c>
      <c r="H64" s="98">
        <v>1760</v>
      </c>
      <c r="I64" s="97">
        <v>0</v>
      </c>
      <c r="J64" s="99">
        <v>1100</v>
      </c>
      <c r="K64" s="98">
        <v>1150</v>
      </c>
      <c r="L64" s="97">
        <v>0</v>
      </c>
      <c r="M64" s="99">
        <v>1800</v>
      </c>
      <c r="N64" s="98">
        <v>912</v>
      </c>
      <c r="O64" s="97">
        <v>0</v>
      </c>
      <c r="P64" s="99">
        <v>1000</v>
      </c>
      <c r="Q64" s="98">
        <v>782</v>
      </c>
      <c r="R64" s="97">
        <v>0</v>
      </c>
      <c r="S64" s="99">
        <v>120</v>
      </c>
      <c r="T64" s="98">
        <v>550</v>
      </c>
      <c r="U64" s="97">
        <v>0</v>
      </c>
      <c r="V64" s="99">
        <v>900</v>
      </c>
      <c r="W64" s="98">
        <v>1680</v>
      </c>
      <c r="X64" s="97">
        <v>0</v>
      </c>
      <c r="Y64" s="99">
        <v>320</v>
      </c>
      <c r="Z64" s="98">
        <v>670</v>
      </c>
      <c r="AA64" s="97">
        <v>0</v>
      </c>
      <c r="AB64" s="95">
        <v>100</v>
      </c>
      <c r="AC64" s="98">
        <v>0</v>
      </c>
      <c r="AD64" s="97">
        <v>25</v>
      </c>
      <c r="AE64" s="99">
        <v>0</v>
      </c>
      <c r="AF64" s="98">
        <v>1580</v>
      </c>
      <c r="AG64" s="97">
        <v>0</v>
      </c>
      <c r="AH64" s="265">
        <f>+Janvier!AJ64</f>
        <v>1338.1318681318683</v>
      </c>
      <c r="AI64" s="231">
        <f>+Janvier!AK64</f>
        <v>4163.0769230769229</v>
      </c>
      <c r="AJ64" s="231">
        <f>+Janvier!AL64</f>
        <v>3122.3076923076928</v>
      </c>
      <c r="AK64" s="231">
        <f>+Janvier!AM64</f>
        <v>3122.3076923076928</v>
      </c>
      <c r="AL64" s="231">
        <f>+Janvier!AN64</f>
        <v>1892.3076923076926</v>
      </c>
      <c r="AM64" s="231">
        <f>+Janvier!AO64</f>
        <v>1170.8653846153848</v>
      </c>
      <c r="AN64" s="231">
        <f>+Janvier!AP64</f>
        <v>2341.7307692307695</v>
      </c>
      <c r="AO64" s="231">
        <f>+Janvier!AQ64</f>
        <v>1170.8653846153848</v>
      </c>
      <c r="AP64" s="231">
        <f>+Janvier!AR64</f>
        <v>1170.8653846153848</v>
      </c>
      <c r="AQ64" s="231">
        <f>+Janvier!AS64</f>
        <v>2081.5384615384614</v>
      </c>
      <c r="AR64" s="16">
        <f t="shared" si="97"/>
        <v>2</v>
      </c>
      <c r="AS64" s="16">
        <f t="shared" si="98"/>
        <v>2</v>
      </c>
      <c r="AT64" s="16">
        <f t="shared" si="99"/>
        <v>2</v>
      </c>
      <c r="AU64" s="16">
        <f t="shared" si="100"/>
        <v>1</v>
      </c>
      <c r="AV64" s="16">
        <f t="shared" si="101"/>
        <v>2</v>
      </c>
      <c r="AW64" s="16">
        <f t="shared" si="102"/>
        <v>2</v>
      </c>
      <c r="AX64" s="16">
        <f t="shared" si="103"/>
        <v>4</v>
      </c>
      <c r="AY64" s="16">
        <f t="shared" si="104"/>
        <v>3</v>
      </c>
      <c r="AZ64" s="16">
        <f t="shared" si="105"/>
        <v>0</v>
      </c>
      <c r="BA64" s="17">
        <f t="shared" si="106"/>
        <v>4</v>
      </c>
    </row>
    <row r="65" spans="1:53" ht="15.6" x14ac:dyDescent="0.3">
      <c r="A65" s="199" t="s">
        <v>31</v>
      </c>
      <c r="B65" s="257">
        <v>43952</v>
      </c>
      <c r="C65" s="233">
        <v>43982</v>
      </c>
      <c r="D65" s="95">
        <v>480</v>
      </c>
      <c r="E65" s="98">
        <v>40</v>
      </c>
      <c r="F65" s="97">
        <v>0</v>
      </c>
      <c r="G65" s="99">
        <v>1680</v>
      </c>
      <c r="H65" s="98">
        <v>120</v>
      </c>
      <c r="I65" s="97">
        <v>0</v>
      </c>
      <c r="J65" s="99">
        <v>2950</v>
      </c>
      <c r="K65" s="98">
        <v>810</v>
      </c>
      <c r="L65" s="97">
        <v>0</v>
      </c>
      <c r="M65" s="99">
        <v>3600</v>
      </c>
      <c r="N65" s="98">
        <v>900</v>
      </c>
      <c r="O65" s="97">
        <v>0</v>
      </c>
      <c r="P65" s="99">
        <v>1950</v>
      </c>
      <c r="Q65" s="98">
        <v>850</v>
      </c>
      <c r="R65" s="97">
        <v>0</v>
      </c>
      <c r="S65" s="99">
        <v>870</v>
      </c>
      <c r="T65" s="98">
        <v>90</v>
      </c>
      <c r="U65" s="97">
        <v>0</v>
      </c>
      <c r="V65" s="99">
        <v>2470</v>
      </c>
      <c r="W65" s="98">
        <v>1020</v>
      </c>
      <c r="X65" s="97">
        <v>0</v>
      </c>
      <c r="Y65" s="99">
        <v>1650</v>
      </c>
      <c r="Z65" s="98">
        <v>360</v>
      </c>
      <c r="AA65" s="97">
        <v>0</v>
      </c>
      <c r="AB65" s="95">
        <v>720</v>
      </c>
      <c r="AC65" s="98">
        <v>10</v>
      </c>
      <c r="AD65" s="97">
        <v>0</v>
      </c>
      <c r="AE65" s="99">
        <v>2150</v>
      </c>
      <c r="AF65" s="98">
        <v>1020</v>
      </c>
      <c r="AG65" s="97">
        <v>0</v>
      </c>
      <c r="AH65" s="265">
        <f>+Janvier!AJ65</f>
        <v>2561.7857142857147</v>
      </c>
      <c r="AI65" s="231">
        <f>+Janvier!AK65</f>
        <v>7970</v>
      </c>
      <c r="AJ65" s="231">
        <f>+Janvier!AL65</f>
        <v>5977.4999999999991</v>
      </c>
      <c r="AK65" s="231">
        <f>+Janvier!AM65</f>
        <v>5977.4999999999991</v>
      </c>
      <c r="AL65" s="231">
        <f>+Janvier!AN65</f>
        <v>3622.727272727273</v>
      </c>
      <c r="AM65" s="231">
        <f>+Janvier!AO65</f>
        <v>2241.5625</v>
      </c>
      <c r="AN65" s="231">
        <f>+Janvier!AP65</f>
        <v>4483.125</v>
      </c>
      <c r="AO65" s="231">
        <f>+Janvier!AQ65</f>
        <v>2241.5625</v>
      </c>
      <c r="AP65" s="231">
        <f>+Janvier!AR65</f>
        <v>2241.5625</v>
      </c>
      <c r="AQ65" s="231">
        <f>+Janvier!AS65</f>
        <v>3985</v>
      </c>
      <c r="AR65" s="16">
        <f t="shared" si="97"/>
        <v>0</v>
      </c>
      <c r="AS65" s="16">
        <f t="shared" si="98"/>
        <v>0</v>
      </c>
      <c r="AT65" s="16">
        <f t="shared" si="99"/>
        <v>1</v>
      </c>
      <c r="AU65" s="16">
        <f t="shared" si="100"/>
        <v>1</v>
      </c>
      <c r="AV65" s="16">
        <f t="shared" si="101"/>
        <v>1</v>
      </c>
      <c r="AW65" s="16">
        <f t="shared" si="102"/>
        <v>0</v>
      </c>
      <c r="AX65" s="16">
        <f t="shared" si="103"/>
        <v>1</v>
      </c>
      <c r="AY65" s="16">
        <f t="shared" si="104"/>
        <v>1</v>
      </c>
      <c r="AZ65" s="16">
        <f t="shared" si="105"/>
        <v>0</v>
      </c>
      <c r="BA65" s="17">
        <f t="shared" si="106"/>
        <v>1</v>
      </c>
    </row>
    <row r="66" spans="1:53" ht="15.6" x14ac:dyDescent="0.3">
      <c r="A66" s="199" t="s">
        <v>32</v>
      </c>
      <c r="B66" s="257">
        <v>43952</v>
      </c>
      <c r="C66" s="233">
        <v>43982</v>
      </c>
      <c r="D66" s="95">
        <v>1020</v>
      </c>
      <c r="E66" s="98">
        <v>600</v>
      </c>
      <c r="F66" s="97">
        <v>0</v>
      </c>
      <c r="G66" s="99">
        <v>4500</v>
      </c>
      <c r="H66" s="98">
        <v>1000</v>
      </c>
      <c r="I66" s="97">
        <v>0</v>
      </c>
      <c r="J66" s="99">
        <v>3200</v>
      </c>
      <c r="K66" s="98">
        <v>970</v>
      </c>
      <c r="L66" s="97">
        <v>0</v>
      </c>
      <c r="M66" s="99">
        <v>3100</v>
      </c>
      <c r="N66" s="98">
        <v>1000</v>
      </c>
      <c r="O66" s="97">
        <v>0</v>
      </c>
      <c r="P66" s="99">
        <v>2050</v>
      </c>
      <c r="Q66" s="98">
        <v>550</v>
      </c>
      <c r="R66" s="97">
        <v>0</v>
      </c>
      <c r="S66" s="99">
        <v>400</v>
      </c>
      <c r="T66" s="98">
        <v>290</v>
      </c>
      <c r="U66" s="97">
        <v>0</v>
      </c>
      <c r="V66" s="99">
        <v>2000</v>
      </c>
      <c r="W66" s="98">
        <v>1160</v>
      </c>
      <c r="X66" s="97">
        <v>0</v>
      </c>
      <c r="Y66" s="99">
        <v>800</v>
      </c>
      <c r="Z66" s="98">
        <v>600</v>
      </c>
      <c r="AA66" s="97">
        <v>0</v>
      </c>
      <c r="AB66" s="95">
        <v>100</v>
      </c>
      <c r="AC66" s="98">
        <v>0</v>
      </c>
      <c r="AD66" s="97">
        <v>20</v>
      </c>
      <c r="AE66" s="99">
        <v>2400</v>
      </c>
      <c r="AF66" s="98">
        <v>1580</v>
      </c>
      <c r="AG66" s="97">
        <v>0</v>
      </c>
      <c r="AH66" s="265">
        <f>+Janvier!AJ66</f>
        <v>1732.3763736263736</v>
      </c>
      <c r="AI66" s="231">
        <f>+Janvier!AK66</f>
        <v>5389.6153846153857</v>
      </c>
      <c r="AJ66" s="231">
        <f>+Janvier!AL66</f>
        <v>4042.211538461539</v>
      </c>
      <c r="AK66" s="231">
        <f>+Janvier!AM66</f>
        <v>4042.211538461539</v>
      </c>
      <c r="AL66" s="231">
        <f>+Janvier!AN66</f>
        <v>2449.8251748251751</v>
      </c>
      <c r="AM66" s="231">
        <f>+Janvier!AO66</f>
        <v>1515.8293269230767</v>
      </c>
      <c r="AN66" s="231">
        <f>+Janvier!AP66</f>
        <v>3031.6586538461534</v>
      </c>
      <c r="AO66" s="231">
        <f>+Janvier!AQ66</f>
        <v>1515.8293269230767</v>
      </c>
      <c r="AP66" s="231">
        <f>+Janvier!AR66</f>
        <v>1515.8293269230767</v>
      </c>
      <c r="AQ66" s="231">
        <f>+Janvier!AS66</f>
        <v>2694.8076923076928</v>
      </c>
      <c r="AR66" s="16">
        <f t="shared" si="97"/>
        <v>2</v>
      </c>
      <c r="AS66" s="16">
        <f t="shared" si="98"/>
        <v>1</v>
      </c>
      <c r="AT66" s="16">
        <f t="shared" si="99"/>
        <v>1</v>
      </c>
      <c r="AU66" s="16">
        <f t="shared" si="100"/>
        <v>1</v>
      </c>
      <c r="AV66" s="16">
        <f t="shared" si="101"/>
        <v>1</v>
      </c>
      <c r="AW66" s="16">
        <f t="shared" si="102"/>
        <v>1</v>
      </c>
      <c r="AX66" s="16">
        <f t="shared" si="103"/>
        <v>2</v>
      </c>
      <c r="AY66" s="16">
        <f t="shared" si="104"/>
        <v>2</v>
      </c>
      <c r="AZ66" s="16">
        <f t="shared" si="105"/>
        <v>0</v>
      </c>
      <c r="BA66" s="17">
        <f t="shared" si="106"/>
        <v>3</v>
      </c>
    </row>
    <row r="67" spans="1:53" ht="16.2" thickBot="1" x14ac:dyDescent="0.35">
      <c r="A67" s="199" t="s">
        <v>33</v>
      </c>
      <c r="B67" s="270">
        <v>43952</v>
      </c>
      <c r="C67" s="271">
        <v>43982</v>
      </c>
      <c r="D67" s="111">
        <v>680</v>
      </c>
      <c r="E67" s="263">
        <v>380</v>
      </c>
      <c r="F67" s="110">
        <v>0</v>
      </c>
      <c r="G67" s="264">
        <v>1760</v>
      </c>
      <c r="H67" s="263">
        <v>2100</v>
      </c>
      <c r="I67" s="110">
        <v>0</v>
      </c>
      <c r="J67" s="264">
        <v>1630</v>
      </c>
      <c r="K67" s="263">
        <v>1770</v>
      </c>
      <c r="L67" s="110">
        <v>0</v>
      </c>
      <c r="M67" s="264">
        <v>1100</v>
      </c>
      <c r="N67" s="263">
        <v>1876</v>
      </c>
      <c r="O67" s="110">
        <v>0</v>
      </c>
      <c r="P67" s="264">
        <v>800</v>
      </c>
      <c r="Q67" s="263">
        <v>1071</v>
      </c>
      <c r="R67" s="110">
        <v>0</v>
      </c>
      <c r="S67" s="264">
        <v>500</v>
      </c>
      <c r="T67" s="263">
        <v>710</v>
      </c>
      <c r="U67" s="110">
        <v>0</v>
      </c>
      <c r="V67" s="264">
        <v>630</v>
      </c>
      <c r="W67" s="263">
        <v>1690</v>
      </c>
      <c r="X67" s="110">
        <v>0</v>
      </c>
      <c r="Y67" s="264">
        <v>400</v>
      </c>
      <c r="Z67" s="263">
        <v>700</v>
      </c>
      <c r="AA67" s="110">
        <v>0</v>
      </c>
      <c r="AB67" s="111">
        <v>0</v>
      </c>
      <c r="AC67" s="263">
        <v>10</v>
      </c>
      <c r="AD67" s="110">
        <v>0</v>
      </c>
      <c r="AE67" s="266">
        <v>350</v>
      </c>
      <c r="AF67" s="267">
        <v>1810</v>
      </c>
      <c r="AG67" s="261">
        <v>0</v>
      </c>
      <c r="AH67" s="265">
        <f>+Janvier!AJ67</f>
        <v>1391.4148351648353</v>
      </c>
      <c r="AI67" s="231">
        <f>+Janvier!AK67</f>
        <v>4328.8461538461534</v>
      </c>
      <c r="AJ67" s="231">
        <f>+Janvier!AL67</f>
        <v>3246.6346153846152</v>
      </c>
      <c r="AK67" s="231">
        <f>+Janvier!AM67</f>
        <v>3246.6346153846152</v>
      </c>
      <c r="AL67" s="231">
        <f>+Janvier!AN67</f>
        <v>1967.6573426573427</v>
      </c>
      <c r="AM67" s="231">
        <f>+Janvier!AO67</f>
        <v>1217.4879807692307</v>
      </c>
      <c r="AN67" s="231">
        <f>+Janvier!AP67</f>
        <v>2434.9759615384614</v>
      </c>
      <c r="AO67" s="231">
        <f>+Janvier!AQ67</f>
        <v>1217.4879807692307</v>
      </c>
      <c r="AP67" s="231">
        <f>+Janvier!AR67</f>
        <v>1217.4879807692307</v>
      </c>
      <c r="AQ67" s="231">
        <f>+Janvier!AS67</f>
        <v>2164.4230769230767</v>
      </c>
      <c r="AR67" s="32">
        <f t="shared" si="97"/>
        <v>1</v>
      </c>
      <c r="AS67" s="32">
        <f t="shared" si="98"/>
        <v>2</v>
      </c>
      <c r="AT67" s="32">
        <f t="shared" si="99"/>
        <v>3</v>
      </c>
      <c r="AU67" s="32">
        <f t="shared" si="100"/>
        <v>3</v>
      </c>
      <c r="AV67" s="32">
        <f t="shared" si="101"/>
        <v>3</v>
      </c>
      <c r="AW67" s="32">
        <f t="shared" si="102"/>
        <v>3</v>
      </c>
      <c r="AX67" s="32">
        <f t="shared" si="103"/>
        <v>3</v>
      </c>
      <c r="AY67" s="32">
        <f t="shared" si="104"/>
        <v>3</v>
      </c>
      <c r="AZ67" s="32">
        <f t="shared" si="105"/>
        <v>0</v>
      </c>
      <c r="BA67" s="33">
        <f t="shared" si="106"/>
        <v>4</v>
      </c>
    </row>
    <row r="68" spans="1:53" ht="15.6" x14ac:dyDescent="0.3">
      <c r="A68" s="202" t="s">
        <v>86</v>
      </c>
      <c r="B68" s="256">
        <v>43952</v>
      </c>
      <c r="C68" s="160">
        <v>43982</v>
      </c>
      <c r="D68" s="268">
        <v>55000</v>
      </c>
      <c r="E68" s="123">
        <v>69690</v>
      </c>
      <c r="F68" s="124">
        <v>0</v>
      </c>
      <c r="G68" s="125">
        <v>92500</v>
      </c>
      <c r="H68" s="123">
        <v>200160</v>
      </c>
      <c r="I68" s="124">
        <v>0</v>
      </c>
      <c r="J68" s="125">
        <v>84400</v>
      </c>
      <c r="K68" s="123">
        <v>147500</v>
      </c>
      <c r="L68" s="124">
        <v>0</v>
      </c>
      <c r="M68" s="125">
        <v>65550</v>
      </c>
      <c r="N68" s="123">
        <v>150082</v>
      </c>
      <c r="O68" s="124">
        <v>0</v>
      </c>
      <c r="P68" s="125">
        <v>67700</v>
      </c>
      <c r="Q68" s="123">
        <v>98393</v>
      </c>
      <c r="R68" s="124">
        <v>0</v>
      </c>
      <c r="S68" s="125">
        <v>16000</v>
      </c>
      <c r="T68" s="123">
        <v>47460</v>
      </c>
      <c r="U68" s="124">
        <v>0</v>
      </c>
      <c r="V68" s="125">
        <v>49000</v>
      </c>
      <c r="W68" s="123">
        <v>130300</v>
      </c>
      <c r="X68" s="124">
        <v>0</v>
      </c>
      <c r="Y68" s="125">
        <v>35000</v>
      </c>
      <c r="Z68" s="123">
        <v>34460</v>
      </c>
      <c r="AA68" s="124">
        <v>0</v>
      </c>
      <c r="AB68" s="125">
        <v>25200</v>
      </c>
      <c r="AC68" s="123">
        <v>12460</v>
      </c>
      <c r="AD68" s="124">
        <v>0</v>
      </c>
      <c r="AE68" s="125">
        <v>65400</v>
      </c>
      <c r="AF68" s="123">
        <v>110910</v>
      </c>
      <c r="AG68" s="124">
        <v>0</v>
      </c>
      <c r="AH68" s="265">
        <f>+Janvier!AJ68</f>
        <v>88119.9</v>
      </c>
      <c r="AI68" s="231">
        <f>+Janvier!AK68</f>
        <v>305254.47115384619</v>
      </c>
      <c r="AJ68" s="231">
        <f>+Janvier!AL68</f>
        <v>203299.47778846158</v>
      </c>
      <c r="AK68" s="231">
        <f>+Janvier!AM68</f>
        <v>203299.47778846158</v>
      </c>
      <c r="AL68" s="231">
        <f>+Janvier!AN68</f>
        <v>128206.87788461539</v>
      </c>
      <c r="AM68" s="231">
        <f>+Janvier!AO68</f>
        <v>76313.617788461546</v>
      </c>
      <c r="AN68" s="231">
        <f>+Janvier!AP68</f>
        <v>152627.23557692309</v>
      </c>
      <c r="AO68" s="231">
        <f>+Janvier!AQ68</f>
        <v>76313.617788461546</v>
      </c>
      <c r="AP68" s="231">
        <f>+Janvier!AR68</f>
        <v>76313.617788461546</v>
      </c>
      <c r="AQ68" s="231">
        <f>+Janvier!AS68</f>
        <v>136801.52307692307</v>
      </c>
      <c r="AR68" s="16">
        <f>ROUND(E68/(AH68/15),0)</f>
        <v>12</v>
      </c>
      <c r="AS68" s="16">
        <f t="shared" ref="AS68" si="107">ROUND(H68/(AI68/15),0)</f>
        <v>10</v>
      </c>
      <c r="AT68" s="16">
        <f t="shared" ref="AT68" si="108">ROUND(K68/(AJ68/15),0)</f>
        <v>11</v>
      </c>
      <c r="AU68" s="16">
        <f t="shared" ref="AU68" si="109">ROUND(N68/(AK68/15),0)</f>
        <v>11</v>
      </c>
      <c r="AV68" s="16">
        <f t="shared" ref="AV68" si="110">ROUND(Q68/(AL68/15),0)</f>
        <v>12</v>
      </c>
      <c r="AW68" s="16">
        <f t="shared" ref="AW68" si="111">ROUND(T68/(AM68/15),0)</f>
        <v>9</v>
      </c>
      <c r="AX68" s="16">
        <f t="shared" ref="AX68" si="112">ROUND(W68/(AN68/15),0)</f>
        <v>13</v>
      </c>
      <c r="AY68" s="16">
        <f t="shared" ref="AY68" si="113">ROUND(Z68/(AO68/15),0)</f>
        <v>7</v>
      </c>
      <c r="AZ68" s="16">
        <f t="shared" ref="AZ68" si="114">ROUND(AC68/(AP68/15),0)</f>
        <v>2</v>
      </c>
      <c r="BA68" s="17">
        <f t="shared" ref="BA68" si="115">ROUND(AF68/(AQ68/15),0)</f>
        <v>12</v>
      </c>
    </row>
    <row r="69" spans="1:53" ht="15.6" x14ac:dyDescent="0.3">
      <c r="A69" s="199" t="s">
        <v>63</v>
      </c>
      <c r="B69" s="257">
        <v>43952</v>
      </c>
      <c r="C69" s="94">
        <v>43982</v>
      </c>
      <c r="D69" s="237">
        <v>1000</v>
      </c>
      <c r="E69" s="96">
        <v>0</v>
      </c>
      <c r="F69" s="97">
        <v>0</v>
      </c>
      <c r="G69" s="95">
        <v>2000</v>
      </c>
      <c r="H69" s="96">
        <v>1000</v>
      </c>
      <c r="I69" s="97">
        <v>0</v>
      </c>
      <c r="J69" s="95">
        <v>2120</v>
      </c>
      <c r="K69" s="96">
        <v>850</v>
      </c>
      <c r="L69" s="97">
        <v>0</v>
      </c>
      <c r="M69" s="95">
        <v>1600</v>
      </c>
      <c r="N69" s="96">
        <v>140</v>
      </c>
      <c r="O69" s="97">
        <v>0</v>
      </c>
      <c r="P69" s="95">
        <v>500</v>
      </c>
      <c r="Q69" s="96">
        <v>6</v>
      </c>
      <c r="R69" s="97">
        <v>0</v>
      </c>
      <c r="S69" s="95">
        <v>2100</v>
      </c>
      <c r="T69" s="96">
        <v>120</v>
      </c>
      <c r="U69" s="97">
        <v>0</v>
      </c>
      <c r="V69" s="95">
        <v>1000</v>
      </c>
      <c r="W69" s="96">
        <v>900</v>
      </c>
      <c r="X69" s="97">
        <v>0</v>
      </c>
      <c r="Y69" s="95">
        <v>500</v>
      </c>
      <c r="Z69" s="96">
        <v>250</v>
      </c>
      <c r="AA69" s="97">
        <v>0</v>
      </c>
      <c r="AB69" s="95">
        <v>170</v>
      </c>
      <c r="AC69" s="96">
        <v>0</v>
      </c>
      <c r="AD69" s="97">
        <v>0</v>
      </c>
      <c r="AE69" s="95">
        <v>1000</v>
      </c>
      <c r="AF69" s="96">
        <v>100</v>
      </c>
      <c r="AG69" s="97">
        <v>0</v>
      </c>
      <c r="AH69" s="265">
        <f>+Janvier!AJ69</f>
        <v>792.19780219780216</v>
      </c>
      <c r="AI69" s="231">
        <f>+Janvier!AK69</f>
        <v>2464.6153846153848</v>
      </c>
      <c r="AJ69" s="231">
        <f>+Janvier!AL69</f>
        <v>1848.4615384615383</v>
      </c>
      <c r="AK69" s="231">
        <f>+Janvier!AM69</f>
        <v>1848.4615384615383</v>
      </c>
      <c r="AL69" s="231">
        <f>+Janvier!AN69</f>
        <v>1120.2797202797203</v>
      </c>
      <c r="AM69" s="231">
        <f>+Janvier!AO69</f>
        <v>693.17307692307691</v>
      </c>
      <c r="AN69" s="231">
        <f>+Janvier!AP69</f>
        <v>1386.3461538461538</v>
      </c>
      <c r="AO69" s="231">
        <f>+Janvier!AQ69</f>
        <v>693.17307692307691</v>
      </c>
      <c r="AP69" s="231">
        <f>+Janvier!AR69</f>
        <v>693.17307692307691</v>
      </c>
      <c r="AQ69" s="231">
        <f>+Janvier!AS69</f>
        <v>1232.3076923076924</v>
      </c>
      <c r="AR69" s="16">
        <f t="shared" ref="AR69:AR79" si="116">ROUND(E69/(AH69/5),0)</f>
        <v>0</v>
      </c>
      <c r="AS69" s="16">
        <f t="shared" ref="AS69:AS79" si="117">ROUND(H69/(AI69/5),0)</f>
        <v>2</v>
      </c>
      <c r="AT69" s="16">
        <f t="shared" ref="AT69:AT79" si="118">ROUND(K69/(AJ69/5),0)</f>
        <v>2</v>
      </c>
      <c r="AU69" s="16">
        <f t="shared" ref="AU69:AU79" si="119">ROUND(N69/(AK69/5),0)</f>
        <v>0</v>
      </c>
      <c r="AV69" s="16">
        <f t="shared" ref="AV69:AV79" si="120">ROUND(Q69/(AL69/5),0)</f>
        <v>0</v>
      </c>
      <c r="AW69" s="16">
        <f t="shared" ref="AW69:AW79" si="121">ROUND(T69/(AM69/5),0)</f>
        <v>1</v>
      </c>
      <c r="AX69" s="16">
        <f t="shared" ref="AX69:AX79" si="122">ROUND(W69/(AN69/5),0)</f>
        <v>3</v>
      </c>
      <c r="AY69" s="16">
        <f t="shared" ref="AY69:AY79" si="123">ROUND(Z69/(AO69/5),0)</f>
        <v>2</v>
      </c>
      <c r="AZ69" s="16">
        <f t="shared" ref="AZ69:AZ79" si="124">ROUND(AC69/(AP69/5),0)</f>
        <v>0</v>
      </c>
      <c r="BA69" s="17">
        <f t="shared" ref="BA69:BA79" si="125">ROUND(AF69/(AQ69/5),0)</f>
        <v>0</v>
      </c>
    </row>
    <row r="70" spans="1:53" ht="15.6" x14ac:dyDescent="0.3">
      <c r="A70" s="199" t="s">
        <v>64</v>
      </c>
      <c r="B70" s="257">
        <v>43952</v>
      </c>
      <c r="C70" s="94">
        <v>43982</v>
      </c>
      <c r="D70" s="237">
        <v>1760</v>
      </c>
      <c r="E70" s="96">
        <v>300</v>
      </c>
      <c r="F70" s="97">
        <v>0</v>
      </c>
      <c r="G70" s="95">
        <v>3760</v>
      </c>
      <c r="H70" s="96">
        <v>860</v>
      </c>
      <c r="I70" s="97">
        <v>0</v>
      </c>
      <c r="J70" s="95">
        <v>2730</v>
      </c>
      <c r="K70" s="96">
        <v>390</v>
      </c>
      <c r="L70" s="97">
        <v>0</v>
      </c>
      <c r="M70" s="95">
        <v>3432</v>
      </c>
      <c r="N70" s="96">
        <v>400</v>
      </c>
      <c r="O70" s="97">
        <v>0</v>
      </c>
      <c r="P70" s="95">
        <v>2000</v>
      </c>
      <c r="Q70" s="96">
        <v>750</v>
      </c>
      <c r="R70" s="97">
        <v>0</v>
      </c>
      <c r="S70" s="95">
        <v>1220</v>
      </c>
      <c r="T70" s="96">
        <v>290</v>
      </c>
      <c r="U70" s="97">
        <v>0</v>
      </c>
      <c r="V70" s="95">
        <v>2680</v>
      </c>
      <c r="W70" s="96">
        <v>980</v>
      </c>
      <c r="X70" s="97">
        <v>0</v>
      </c>
      <c r="Y70" s="95">
        <v>1280</v>
      </c>
      <c r="Z70" s="96">
        <v>170</v>
      </c>
      <c r="AA70" s="97">
        <v>0</v>
      </c>
      <c r="AB70" s="95">
        <v>1600</v>
      </c>
      <c r="AC70" s="96">
        <v>1300</v>
      </c>
      <c r="AD70" s="97">
        <v>0</v>
      </c>
      <c r="AE70" s="95">
        <v>1650</v>
      </c>
      <c r="AF70" s="96">
        <v>320</v>
      </c>
      <c r="AG70" s="97">
        <v>0</v>
      </c>
      <c r="AH70" s="265">
        <f>+Janvier!AJ70</f>
        <v>1980.7417582417584</v>
      </c>
      <c r="AI70" s="231">
        <f>+Janvier!AK70</f>
        <v>6162.3076923076933</v>
      </c>
      <c r="AJ70" s="231">
        <f>+Janvier!AL70</f>
        <v>4621.7307692307704</v>
      </c>
      <c r="AK70" s="231">
        <f>+Janvier!AM70</f>
        <v>4621.7307692307704</v>
      </c>
      <c r="AL70" s="231">
        <f>+Janvier!AN70</f>
        <v>2801.0489510489515</v>
      </c>
      <c r="AM70" s="231">
        <f>+Janvier!AO70</f>
        <v>1733.1490384615383</v>
      </c>
      <c r="AN70" s="231">
        <f>+Janvier!AP70</f>
        <v>3466.2980769230767</v>
      </c>
      <c r="AO70" s="231">
        <f>+Janvier!AQ70</f>
        <v>1733.1490384615383</v>
      </c>
      <c r="AP70" s="231">
        <f>+Janvier!AR70</f>
        <v>1733.1490384615383</v>
      </c>
      <c r="AQ70" s="231">
        <f>+Janvier!AS70</f>
        <v>3081.1538461538466</v>
      </c>
      <c r="AR70" s="16">
        <f t="shared" si="116"/>
        <v>1</v>
      </c>
      <c r="AS70" s="16">
        <f t="shared" si="117"/>
        <v>1</v>
      </c>
      <c r="AT70" s="16">
        <f t="shared" si="118"/>
        <v>0</v>
      </c>
      <c r="AU70" s="16">
        <f t="shared" si="119"/>
        <v>0</v>
      </c>
      <c r="AV70" s="16">
        <f t="shared" si="120"/>
        <v>1</v>
      </c>
      <c r="AW70" s="16">
        <f t="shared" si="121"/>
        <v>1</v>
      </c>
      <c r="AX70" s="16">
        <f t="shared" si="122"/>
        <v>1</v>
      </c>
      <c r="AY70" s="16">
        <f t="shared" si="123"/>
        <v>0</v>
      </c>
      <c r="AZ70" s="16">
        <f t="shared" si="124"/>
        <v>4</v>
      </c>
      <c r="BA70" s="17">
        <f t="shared" si="125"/>
        <v>1</v>
      </c>
    </row>
    <row r="71" spans="1:53" ht="15.6" x14ac:dyDescent="0.3">
      <c r="A71" s="199" t="s">
        <v>65</v>
      </c>
      <c r="B71" s="257">
        <v>43952</v>
      </c>
      <c r="C71" s="94">
        <v>43982</v>
      </c>
      <c r="D71" s="237">
        <v>2280</v>
      </c>
      <c r="E71" s="96">
        <v>1920</v>
      </c>
      <c r="F71" s="97">
        <v>0</v>
      </c>
      <c r="G71" s="95">
        <v>6300</v>
      </c>
      <c r="H71" s="96">
        <v>2280</v>
      </c>
      <c r="I71" s="97">
        <v>0</v>
      </c>
      <c r="J71" s="95">
        <v>5000</v>
      </c>
      <c r="K71" s="96">
        <v>890</v>
      </c>
      <c r="L71" s="97">
        <v>0</v>
      </c>
      <c r="M71" s="95">
        <v>5712</v>
      </c>
      <c r="N71" s="96">
        <v>1216</v>
      </c>
      <c r="O71" s="97">
        <v>0</v>
      </c>
      <c r="P71" s="95">
        <v>3366</v>
      </c>
      <c r="Q71" s="96">
        <v>2000</v>
      </c>
      <c r="R71" s="97">
        <v>0</v>
      </c>
      <c r="S71" s="95">
        <v>1800</v>
      </c>
      <c r="T71" s="96">
        <v>300</v>
      </c>
      <c r="U71" s="97">
        <v>0</v>
      </c>
      <c r="V71" s="95">
        <v>3860</v>
      </c>
      <c r="W71" s="96">
        <v>1580</v>
      </c>
      <c r="X71" s="97">
        <v>0</v>
      </c>
      <c r="Y71" s="95">
        <v>1200</v>
      </c>
      <c r="Z71" s="96">
        <v>0</v>
      </c>
      <c r="AA71" s="97">
        <v>0</v>
      </c>
      <c r="AB71" s="95">
        <v>170</v>
      </c>
      <c r="AC71" s="96">
        <v>0</v>
      </c>
      <c r="AD71" s="97">
        <v>0</v>
      </c>
      <c r="AE71" s="95">
        <v>3450</v>
      </c>
      <c r="AF71" s="96">
        <v>2000</v>
      </c>
      <c r="AG71" s="97">
        <v>0</v>
      </c>
      <c r="AH71" s="265">
        <f>+Janvier!AJ71</f>
        <v>2906.4560439560446</v>
      </c>
      <c r="AI71" s="231">
        <f>+Janvier!AK71</f>
        <v>9042.3076923076933</v>
      </c>
      <c r="AJ71" s="231">
        <f>+Janvier!AL71</f>
        <v>6781.7307692307695</v>
      </c>
      <c r="AK71" s="231">
        <f>+Janvier!AM71</f>
        <v>6781.7307692307695</v>
      </c>
      <c r="AL71" s="231">
        <f>+Janvier!AN71</f>
        <v>4110.1398601398605</v>
      </c>
      <c r="AM71" s="231">
        <f>+Janvier!AO71</f>
        <v>2543.1490384615386</v>
      </c>
      <c r="AN71" s="231">
        <f>+Janvier!AP71</f>
        <v>5086.2980769230771</v>
      </c>
      <c r="AO71" s="231">
        <f>+Janvier!AQ71</f>
        <v>2543.1490384615386</v>
      </c>
      <c r="AP71" s="231">
        <f>+Janvier!AR71</f>
        <v>2543.1490384615386</v>
      </c>
      <c r="AQ71" s="231">
        <f>+Janvier!AS71</f>
        <v>4521.1538461538466</v>
      </c>
      <c r="AR71" s="16">
        <f t="shared" si="116"/>
        <v>3</v>
      </c>
      <c r="AS71" s="16">
        <f t="shared" si="117"/>
        <v>1</v>
      </c>
      <c r="AT71" s="16">
        <f t="shared" si="118"/>
        <v>1</v>
      </c>
      <c r="AU71" s="16">
        <f t="shared" si="119"/>
        <v>1</v>
      </c>
      <c r="AV71" s="16">
        <f t="shared" si="120"/>
        <v>2</v>
      </c>
      <c r="AW71" s="16">
        <f t="shared" si="121"/>
        <v>1</v>
      </c>
      <c r="AX71" s="16">
        <f t="shared" si="122"/>
        <v>2</v>
      </c>
      <c r="AY71" s="16">
        <f t="shared" si="123"/>
        <v>0</v>
      </c>
      <c r="AZ71" s="16">
        <f t="shared" si="124"/>
        <v>0</v>
      </c>
      <c r="BA71" s="17">
        <f t="shared" si="125"/>
        <v>2</v>
      </c>
    </row>
    <row r="72" spans="1:53" ht="15.6" x14ac:dyDescent="0.3">
      <c r="A72" s="203" t="s">
        <v>66</v>
      </c>
      <c r="B72" s="257">
        <v>43952</v>
      </c>
      <c r="C72" s="94">
        <v>43982</v>
      </c>
      <c r="D72" s="237">
        <v>1600</v>
      </c>
      <c r="E72" s="96">
        <v>1140</v>
      </c>
      <c r="F72" s="97">
        <v>0</v>
      </c>
      <c r="G72" s="95">
        <v>5920</v>
      </c>
      <c r="H72" s="96">
        <v>4240</v>
      </c>
      <c r="I72" s="97">
        <v>0</v>
      </c>
      <c r="J72" s="95">
        <v>5200</v>
      </c>
      <c r="K72" s="96">
        <v>2580</v>
      </c>
      <c r="L72" s="97">
        <v>0</v>
      </c>
      <c r="M72" s="95">
        <v>4772</v>
      </c>
      <c r="N72" s="96">
        <v>2488</v>
      </c>
      <c r="O72" s="97">
        <v>0</v>
      </c>
      <c r="P72" s="95">
        <v>3068</v>
      </c>
      <c r="Q72" s="96">
        <v>2013</v>
      </c>
      <c r="R72" s="97">
        <v>0</v>
      </c>
      <c r="S72" s="95">
        <v>1270</v>
      </c>
      <c r="T72" s="96">
        <v>400</v>
      </c>
      <c r="U72" s="97">
        <v>0</v>
      </c>
      <c r="V72" s="95">
        <v>2190</v>
      </c>
      <c r="W72" s="96">
        <v>1790</v>
      </c>
      <c r="X72" s="97">
        <v>0</v>
      </c>
      <c r="Y72" s="95">
        <v>1700</v>
      </c>
      <c r="Z72" s="96">
        <v>1100</v>
      </c>
      <c r="AA72" s="97">
        <v>0</v>
      </c>
      <c r="AB72" s="95">
        <v>170</v>
      </c>
      <c r="AC72" s="96">
        <v>1110</v>
      </c>
      <c r="AD72" s="97">
        <v>0</v>
      </c>
      <c r="AE72" s="95">
        <v>2440</v>
      </c>
      <c r="AF72" s="96">
        <v>2420</v>
      </c>
      <c r="AG72" s="97">
        <v>0</v>
      </c>
      <c r="AH72" s="265">
        <f>+Janvier!AJ72</f>
        <v>2692.335164835165</v>
      </c>
      <c r="AI72" s="231">
        <f>+Janvier!AK72</f>
        <v>8376.1538461538457</v>
      </c>
      <c r="AJ72" s="231">
        <f>+Janvier!AL72</f>
        <v>6282.1153846153857</v>
      </c>
      <c r="AK72" s="231">
        <f>+Janvier!AM72</f>
        <v>6282.1153846153857</v>
      </c>
      <c r="AL72" s="231">
        <f>+Janvier!AN72</f>
        <v>3807.3426573426577</v>
      </c>
      <c r="AM72" s="231">
        <f>+Janvier!AO72</f>
        <v>2355.7932692307695</v>
      </c>
      <c r="AN72" s="231">
        <f>+Janvier!AP72</f>
        <v>4711.586538461539</v>
      </c>
      <c r="AO72" s="231">
        <f>+Janvier!AQ72</f>
        <v>2355.7932692307695</v>
      </c>
      <c r="AP72" s="231">
        <f>+Janvier!AR72</f>
        <v>2355.7932692307695</v>
      </c>
      <c r="AQ72" s="231">
        <f>+Janvier!AS72</f>
        <v>4188.0769230769229</v>
      </c>
      <c r="AR72" s="16">
        <f t="shared" si="116"/>
        <v>2</v>
      </c>
      <c r="AS72" s="16">
        <f t="shared" si="117"/>
        <v>3</v>
      </c>
      <c r="AT72" s="16">
        <f t="shared" si="118"/>
        <v>2</v>
      </c>
      <c r="AU72" s="16">
        <f t="shared" si="119"/>
        <v>2</v>
      </c>
      <c r="AV72" s="16">
        <f t="shared" si="120"/>
        <v>3</v>
      </c>
      <c r="AW72" s="16">
        <f t="shared" si="121"/>
        <v>1</v>
      </c>
      <c r="AX72" s="16">
        <f t="shared" si="122"/>
        <v>2</v>
      </c>
      <c r="AY72" s="16">
        <f t="shared" si="123"/>
        <v>2</v>
      </c>
      <c r="AZ72" s="16">
        <f t="shared" si="124"/>
        <v>2</v>
      </c>
      <c r="BA72" s="17">
        <f t="shared" si="125"/>
        <v>3</v>
      </c>
    </row>
    <row r="73" spans="1:53" ht="15.6" x14ac:dyDescent="0.3">
      <c r="A73" s="203" t="s">
        <v>67</v>
      </c>
      <c r="B73" s="257">
        <v>43952</v>
      </c>
      <c r="C73" s="94">
        <v>43982</v>
      </c>
      <c r="D73" s="237">
        <v>4000</v>
      </c>
      <c r="E73" s="96">
        <v>1640</v>
      </c>
      <c r="F73" s="97">
        <v>0</v>
      </c>
      <c r="G73" s="95">
        <v>10560</v>
      </c>
      <c r="H73" s="96">
        <v>3840</v>
      </c>
      <c r="I73" s="97">
        <v>0</v>
      </c>
      <c r="J73" s="95">
        <v>8570</v>
      </c>
      <c r="K73" s="96">
        <v>2680</v>
      </c>
      <c r="L73" s="97">
        <v>0</v>
      </c>
      <c r="M73" s="95">
        <v>7080</v>
      </c>
      <c r="N73" s="96">
        <v>3648</v>
      </c>
      <c r="O73" s="97">
        <v>0</v>
      </c>
      <c r="P73" s="95">
        <v>4414</v>
      </c>
      <c r="Q73" s="96">
        <v>2231</v>
      </c>
      <c r="R73" s="97">
        <v>0</v>
      </c>
      <c r="S73" s="95">
        <v>3040</v>
      </c>
      <c r="T73" s="96">
        <v>1290</v>
      </c>
      <c r="U73" s="97">
        <v>0</v>
      </c>
      <c r="V73" s="95">
        <v>3660</v>
      </c>
      <c r="W73" s="96">
        <v>3150</v>
      </c>
      <c r="X73" s="97">
        <v>0</v>
      </c>
      <c r="Y73" s="95">
        <v>2600</v>
      </c>
      <c r="Z73" s="96">
        <v>1590</v>
      </c>
      <c r="AA73" s="97">
        <v>0</v>
      </c>
      <c r="AB73" s="95">
        <v>2170</v>
      </c>
      <c r="AC73" s="96">
        <v>380</v>
      </c>
      <c r="AD73" s="97">
        <v>0</v>
      </c>
      <c r="AE73" s="95">
        <v>2610</v>
      </c>
      <c r="AF73" s="96">
        <v>3820</v>
      </c>
      <c r="AG73" s="97">
        <v>0</v>
      </c>
      <c r="AH73" s="265">
        <f>+Janvier!AJ73</f>
        <v>4744.9038461538466</v>
      </c>
      <c r="AI73" s="231">
        <f>+Janvier!AK73</f>
        <v>14761.923076923076</v>
      </c>
      <c r="AJ73" s="231">
        <f>+Janvier!AL73</f>
        <v>11071.442307692309</v>
      </c>
      <c r="AK73" s="231">
        <f>+Janvier!AM73</f>
        <v>11071.442307692309</v>
      </c>
      <c r="AL73" s="231">
        <f>+Janvier!AN73</f>
        <v>6709.9650349650356</v>
      </c>
      <c r="AM73" s="231">
        <f>+Janvier!AO73</f>
        <v>4151.7908653846152</v>
      </c>
      <c r="AN73" s="231">
        <f>+Janvier!AP73</f>
        <v>8303.5817307692305</v>
      </c>
      <c r="AO73" s="231">
        <f>+Janvier!AQ73</f>
        <v>4151.7908653846152</v>
      </c>
      <c r="AP73" s="231">
        <f>+Janvier!AR73</f>
        <v>4151.7908653846152</v>
      </c>
      <c r="AQ73" s="231">
        <f>+Janvier!AS73</f>
        <v>7380.9615384615381</v>
      </c>
      <c r="AR73" s="16">
        <f t="shared" si="116"/>
        <v>2</v>
      </c>
      <c r="AS73" s="16">
        <f t="shared" si="117"/>
        <v>1</v>
      </c>
      <c r="AT73" s="16">
        <f t="shared" si="118"/>
        <v>1</v>
      </c>
      <c r="AU73" s="16">
        <f t="shared" si="119"/>
        <v>2</v>
      </c>
      <c r="AV73" s="16">
        <f t="shared" si="120"/>
        <v>2</v>
      </c>
      <c r="AW73" s="16">
        <f t="shared" si="121"/>
        <v>2</v>
      </c>
      <c r="AX73" s="16">
        <f t="shared" si="122"/>
        <v>2</v>
      </c>
      <c r="AY73" s="16">
        <f t="shared" si="123"/>
        <v>2</v>
      </c>
      <c r="AZ73" s="16">
        <f t="shared" si="124"/>
        <v>0</v>
      </c>
      <c r="BA73" s="17">
        <f t="shared" si="125"/>
        <v>3</v>
      </c>
    </row>
    <row r="74" spans="1:53" ht="15.6" x14ac:dyDescent="0.3">
      <c r="A74" s="203" t="s">
        <v>68</v>
      </c>
      <c r="B74" s="257">
        <v>43952</v>
      </c>
      <c r="C74" s="94">
        <v>43982</v>
      </c>
      <c r="D74" s="237">
        <v>3100</v>
      </c>
      <c r="E74" s="96">
        <v>740</v>
      </c>
      <c r="F74" s="97">
        <v>0</v>
      </c>
      <c r="G74" s="95">
        <v>8040</v>
      </c>
      <c r="H74" s="96">
        <v>1120</v>
      </c>
      <c r="I74" s="97">
        <v>0</v>
      </c>
      <c r="J74" s="95">
        <v>6030</v>
      </c>
      <c r="K74" s="96">
        <v>670</v>
      </c>
      <c r="L74" s="97">
        <v>0</v>
      </c>
      <c r="M74" s="95">
        <v>5712</v>
      </c>
      <c r="N74" s="96">
        <v>400</v>
      </c>
      <c r="O74" s="97">
        <v>0</v>
      </c>
      <c r="P74" s="95">
        <v>3500</v>
      </c>
      <c r="Q74" s="96">
        <v>378</v>
      </c>
      <c r="R74" s="97">
        <v>0</v>
      </c>
      <c r="S74" s="95">
        <v>2140</v>
      </c>
      <c r="T74" s="96">
        <v>210</v>
      </c>
      <c r="U74" s="97">
        <v>0</v>
      </c>
      <c r="V74" s="95">
        <v>4470</v>
      </c>
      <c r="W74" s="96">
        <v>1260</v>
      </c>
      <c r="X74" s="97">
        <v>0</v>
      </c>
      <c r="Y74" s="95">
        <v>1600</v>
      </c>
      <c r="Z74" s="96">
        <v>0</v>
      </c>
      <c r="AA74" s="97">
        <v>0</v>
      </c>
      <c r="AB74" s="95">
        <v>170</v>
      </c>
      <c r="AC74" s="96">
        <v>0</v>
      </c>
      <c r="AD74" s="97">
        <v>0</v>
      </c>
      <c r="AE74" s="95">
        <v>3500</v>
      </c>
      <c r="AF74" s="96">
        <v>1740</v>
      </c>
      <c r="AG74" s="97">
        <v>0</v>
      </c>
      <c r="AH74" s="265">
        <f>+Janvier!AJ74</f>
        <v>3278.4478021978025</v>
      </c>
      <c r="AI74" s="231">
        <f>+Janvier!AK74</f>
        <v>10199.615384615387</v>
      </c>
      <c r="AJ74" s="231">
        <f>+Janvier!AL74</f>
        <v>7649.7115384615381</v>
      </c>
      <c r="AK74" s="231">
        <f>+Janvier!AM74</f>
        <v>7649.7115384615381</v>
      </c>
      <c r="AL74" s="231">
        <f>+Janvier!AN74</f>
        <v>4636.188811188812</v>
      </c>
      <c r="AM74" s="231">
        <f>+Janvier!AO74</f>
        <v>2868.6418269230771</v>
      </c>
      <c r="AN74" s="231">
        <f>+Janvier!AP74</f>
        <v>5737.2836538461543</v>
      </c>
      <c r="AO74" s="231">
        <f>+Janvier!AQ74</f>
        <v>2868.6418269230771</v>
      </c>
      <c r="AP74" s="231">
        <f>+Janvier!AR74</f>
        <v>2868.6418269230771</v>
      </c>
      <c r="AQ74" s="231">
        <f>+Janvier!AS74</f>
        <v>5099.8076923076933</v>
      </c>
      <c r="AR74" s="16">
        <f t="shared" si="116"/>
        <v>1</v>
      </c>
      <c r="AS74" s="16">
        <f t="shared" si="117"/>
        <v>1</v>
      </c>
      <c r="AT74" s="16">
        <f t="shared" si="118"/>
        <v>0</v>
      </c>
      <c r="AU74" s="16">
        <f t="shared" si="119"/>
        <v>0</v>
      </c>
      <c r="AV74" s="16">
        <f t="shared" si="120"/>
        <v>0</v>
      </c>
      <c r="AW74" s="16">
        <f t="shared" si="121"/>
        <v>0</v>
      </c>
      <c r="AX74" s="16">
        <f t="shared" si="122"/>
        <v>1</v>
      </c>
      <c r="AY74" s="16">
        <f t="shared" si="123"/>
        <v>0</v>
      </c>
      <c r="AZ74" s="16">
        <f t="shared" si="124"/>
        <v>0</v>
      </c>
      <c r="BA74" s="17">
        <f t="shared" si="125"/>
        <v>2</v>
      </c>
    </row>
    <row r="75" spans="1:53" ht="15.6" x14ac:dyDescent="0.3">
      <c r="A75" s="203" t="s">
        <v>69</v>
      </c>
      <c r="B75" s="257">
        <v>43952</v>
      </c>
      <c r="C75" s="94">
        <v>43982</v>
      </c>
      <c r="D75" s="237">
        <v>2960</v>
      </c>
      <c r="E75" s="96">
        <v>1300</v>
      </c>
      <c r="F75" s="97">
        <v>0</v>
      </c>
      <c r="G75" s="95">
        <v>8120</v>
      </c>
      <c r="H75" s="96">
        <v>3800</v>
      </c>
      <c r="I75" s="97">
        <v>0</v>
      </c>
      <c r="J75" s="95">
        <v>6640</v>
      </c>
      <c r="K75" s="96">
        <v>2600</v>
      </c>
      <c r="L75" s="97">
        <v>0</v>
      </c>
      <c r="M75" s="95">
        <v>6070</v>
      </c>
      <c r="N75" s="96">
        <v>2772</v>
      </c>
      <c r="O75" s="97">
        <v>0</v>
      </c>
      <c r="P75" s="95">
        <v>4192</v>
      </c>
      <c r="Q75" s="96">
        <v>1700</v>
      </c>
      <c r="R75" s="97">
        <v>0</v>
      </c>
      <c r="S75" s="95">
        <v>2230</v>
      </c>
      <c r="T75" s="96">
        <v>500</v>
      </c>
      <c r="U75" s="97">
        <v>0</v>
      </c>
      <c r="V75" s="95">
        <v>2240</v>
      </c>
      <c r="W75" s="96">
        <v>2690</v>
      </c>
      <c r="X75" s="97">
        <v>0</v>
      </c>
      <c r="Y75" s="95">
        <v>2200</v>
      </c>
      <c r="Z75" s="96">
        <v>1030</v>
      </c>
      <c r="AA75" s="97">
        <v>0</v>
      </c>
      <c r="AB75" s="95">
        <v>2700</v>
      </c>
      <c r="AC75" s="96">
        <v>2430</v>
      </c>
      <c r="AD75" s="97">
        <v>0</v>
      </c>
      <c r="AE75" s="95">
        <v>3460</v>
      </c>
      <c r="AF75" s="96">
        <v>3550</v>
      </c>
      <c r="AG75" s="97">
        <v>0</v>
      </c>
      <c r="AH75" s="265">
        <f>+Janvier!AJ75</f>
        <v>4167.9395604395613</v>
      </c>
      <c r="AI75" s="231">
        <f>+Janvier!AK75</f>
        <v>12966.923076923082</v>
      </c>
      <c r="AJ75" s="231">
        <f>+Janvier!AL75</f>
        <v>9725.1923076923085</v>
      </c>
      <c r="AK75" s="231">
        <f>+Janvier!AM75</f>
        <v>9725.1923076923085</v>
      </c>
      <c r="AL75" s="231">
        <f>+Janvier!AN75</f>
        <v>5894.0559440559446</v>
      </c>
      <c r="AM75" s="231">
        <f>+Janvier!AO75</f>
        <v>3646.9471153846152</v>
      </c>
      <c r="AN75" s="231">
        <f>+Janvier!AP75</f>
        <v>7293.8942307692305</v>
      </c>
      <c r="AO75" s="231">
        <f>+Janvier!AQ75</f>
        <v>3646.9471153846152</v>
      </c>
      <c r="AP75" s="231">
        <f>+Janvier!AR75</f>
        <v>3646.9471153846152</v>
      </c>
      <c r="AQ75" s="231">
        <f>+Janvier!AS75</f>
        <v>6483.4615384615408</v>
      </c>
      <c r="AR75" s="16">
        <f t="shared" si="116"/>
        <v>2</v>
      </c>
      <c r="AS75" s="16">
        <f t="shared" si="117"/>
        <v>1</v>
      </c>
      <c r="AT75" s="16">
        <f t="shared" si="118"/>
        <v>1</v>
      </c>
      <c r="AU75" s="16">
        <f t="shared" si="119"/>
        <v>1</v>
      </c>
      <c r="AV75" s="16">
        <f t="shared" si="120"/>
        <v>1</v>
      </c>
      <c r="AW75" s="16">
        <f t="shared" si="121"/>
        <v>1</v>
      </c>
      <c r="AX75" s="16">
        <f t="shared" si="122"/>
        <v>2</v>
      </c>
      <c r="AY75" s="16">
        <f t="shared" si="123"/>
        <v>1</v>
      </c>
      <c r="AZ75" s="16">
        <f t="shared" si="124"/>
        <v>3</v>
      </c>
      <c r="BA75" s="17">
        <f t="shared" si="125"/>
        <v>3</v>
      </c>
    </row>
    <row r="76" spans="1:53" ht="15.6" x14ac:dyDescent="0.3">
      <c r="A76" s="203" t="s">
        <v>70</v>
      </c>
      <c r="B76" s="257">
        <v>43952</v>
      </c>
      <c r="C76" s="94">
        <v>43982</v>
      </c>
      <c r="D76" s="237">
        <v>2020</v>
      </c>
      <c r="E76" s="96">
        <v>140</v>
      </c>
      <c r="F76" s="97">
        <v>0</v>
      </c>
      <c r="G76" s="95">
        <v>5740</v>
      </c>
      <c r="H76" s="96">
        <v>1760</v>
      </c>
      <c r="I76" s="97">
        <v>0</v>
      </c>
      <c r="J76" s="95">
        <v>4730</v>
      </c>
      <c r="K76" s="96">
        <v>550</v>
      </c>
      <c r="L76" s="97">
        <v>0</v>
      </c>
      <c r="M76" s="95">
        <v>4320</v>
      </c>
      <c r="N76" s="96">
        <v>1000</v>
      </c>
      <c r="O76" s="97">
        <v>0</v>
      </c>
      <c r="P76" s="95">
        <v>3057</v>
      </c>
      <c r="Q76" s="96">
        <v>433</v>
      </c>
      <c r="R76" s="97">
        <v>0</v>
      </c>
      <c r="S76" s="95">
        <v>1480</v>
      </c>
      <c r="T76" s="96">
        <v>270</v>
      </c>
      <c r="U76" s="97">
        <v>0</v>
      </c>
      <c r="V76" s="95">
        <v>2650</v>
      </c>
      <c r="W76" s="96">
        <v>1230</v>
      </c>
      <c r="X76" s="97">
        <v>0</v>
      </c>
      <c r="Y76" s="95">
        <v>1780</v>
      </c>
      <c r="Z76" s="96">
        <v>210</v>
      </c>
      <c r="AA76" s="97">
        <v>0</v>
      </c>
      <c r="AB76" s="95">
        <v>1310</v>
      </c>
      <c r="AC76" s="96">
        <v>60</v>
      </c>
      <c r="AD76" s="97">
        <v>0</v>
      </c>
      <c r="AE76" s="95">
        <v>3110</v>
      </c>
      <c r="AF76" s="96">
        <v>2230</v>
      </c>
      <c r="AG76" s="97">
        <v>0</v>
      </c>
      <c r="AH76" s="265">
        <f>+Janvier!AJ76</f>
        <v>2027.1016483516485</v>
      </c>
      <c r="AI76" s="231">
        <f>+Janvier!AK76</f>
        <v>6306.5384615384628</v>
      </c>
      <c r="AJ76" s="231">
        <f>+Janvier!AL76</f>
        <v>4729.9038461538466</v>
      </c>
      <c r="AK76" s="231">
        <f>+Janvier!AM76</f>
        <v>4729.9038461538466</v>
      </c>
      <c r="AL76" s="231">
        <f>+Janvier!AN76</f>
        <v>2866.6083916083921</v>
      </c>
      <c r="AM76" s="231">
        <f>+Janvier!AO76</f>
        <v>1773.7139423076924</v>
      </c>
      <c r="AN76" s="231">
        <f>+Janvier!AP76</f>
        <v>3547.4278846153848</v>
      </c>
      <c r="AO76" s="231">
        <f>+Janvier!AQ76</f>
        <v>1773.7139423076924</v>
      </c>
      <c r="AP76" s="231">
        <f>+Janvier!AR76</f>
        <v>1773.7139423076924</v>
      </c>
      <c r="AQ76" s="231">
        <f>+Janvier!AS76</f>
        <v>3153.2692307692314</v>
      </c>
      <c r="AR76" s="16">
        <f t="shared" si="116"/>
        <v>0</v>
      </c>
      <c r="AS76" s="16">
        <f t="shared" si="117"/>
        <v>1</v>
      </c>
      <c r="AT76" s="16">
        <f t="shared" si="118"/>
        <v>1</v>
      </c>
      <c r="AU76" s="16">
        <f t="shared" si="119"/>
        <v>1</v>
      </c>
      <c r="AV76" s="16">
        <f t="shared" si="120"/>
        <v>1</v>
      </c>
      <c r="AW76" s="16">
        <f t="shared" si="121"/>
        <v>1</v>
      </c>
      <c r="AX76" s="16">
        <f t="shared" si="122"/>
        <v>2</v>
      </c>
      <c r="AY76" s="16">
        <f t="shared" si="123"/>
        <v>1</v>
      </c>
      <c r="AZ76" s="16">
        <f t="shared" si="124"/>
        <v>0</v>
      </c>
      <c r="BA76" s="17">
        <f t="shared" si="125"/>
        <v>4</v>
      </c>
    </row>
    <row r="77" spans="1:53" ht="15.6" x14ac:dyDescent="0.3">
      <c r="A77" s="203" t="s">
        <v>71</v>
      </c>
      <c r="B77" s="257">
        <v>43952</v>
      </c>
      <c r="C77" s="94">
        <v>43982</v>
      </c>
      <c r="D77" s="237">
        <v>2820</v>
      </c>
      <c r="E77" s="96">
        <v>500</v>
      </c>
      <c r="F77" s="97">
        <v>0</v>
      </c>
      <c r="G77" s="95">
        <v>8400</v>
      </c>
      <c r="H77" s="96">
        <v>860</v>
      </c>
      <c r="I77" s="97">
        <v>0</v>
      </c>
      <c r="J77" s="95">
        <v>5170</v>
      </c>
      <c r="K77" s="96">
        <v>580</v>
      </c>
      <c r="L77" s="97">
        <v>0</v>
      </c>
      <c r="M77" s="95">
        <v>5084</v>
      </c>
      <c r="N77" s="96">
        <v>856</v>
      </c>
      <c r="O77" s="97">
        <v>0</v>
      </c>
      <c r="P77" s="95">
        <v>4000</v>
      </c>
      <c r="Q77" s="96">
        <v>950</v>
      </c>
      <c r="R77" s="97">
        <v>0</v>
      </c>
      <c r="S77" s="95">
        <v>1750</v>
      </c>
      <c r="T77" s="96">
        <v>420</v>
      </c>
      <c r="U77" s="97">
        <v>0</v>
      </c>
      <c r="V77" s="95">
        <v>3600</v>
      </c>
      <c r="W77" s="96">
        <v>1080</v>
      </c>
      <c r="X77" s="97">
        <v>0</v>
      </c>
      <c r="Y77" s="95">
        <v>2000</v>
      </c>
      <c r="Z77" s="96">
        <v>620</v>
      </c>
      <c r="AA77" s="97">
        <v>0</v>
      </c>
      <c r="AB77" s="95">
        <v>2000</v>
      </c>
      <c r="AC77" s="96">
        <v>0</v>
      </c>
      <c r="AD77" s="97">
        <v>0</v>
      </c>
      <c r="AE77" s="95">
        <v>2660</v>
      </c>
      <c r="AF77" s="96">
        <v>890</v>
      </c>
      <c r="AG77" s="97">
        <v>0</v>
      </c>
      <c r="AH77" s="265">
        <f>+Janvier!AJ77</f>
        <v>3524.4642857142853</v>
      </c>
      <c r="AI77" s="231">
        <f>+Janvier!AK77</f>
        <v>10965.000000000002</v>
      </c>
      <c r="AJ77" s="231">
        <f>+Janvier!AL77</f>
        <v>8223.75</v>
      </c>
      <c r="AK77" s="231">
        <f>+Janvier!AM77</f>
        <v>8223.75</v>
      </c>
      <c r="AL77" s="231">
        <f>+Janvier!AN77</f>
        <v>4984.0909090909099</v>
      </c>
      <c r="AM77" s="231">
        <f>+Janvier!AO77</f>
        <v>3083.9062500000005</v>
      </c>
      <c r="AN77" s="231">
        <f>+Janvier!AP77</f>
        <v>6167.8125000000009</v>
      </c>
      <c r="AO77" s="231">
        <f>+Janvier!AQ77</f>
        <v>3083.9062500000005</v>
      </c>
      <c r="AP77" s="231">
        <f>+Janvier!AR77</f>
        <v>3083.9062500000005</v>
      </c>
      <c r="AQ77" s="231">
        <f>+Janvier!AS77</f>
        <v>5482.5000000000009</v>
      </c>
      <c r="AR77" s="16">
        <f t="shared" si="116"/>
        <v>1</v>
      </c>
      <c r="AS77" s="16">
        <f t="shared" si="117"/>
        <v>0</v>
      </c>
      <c r="AT77" s="16">
        <f t="shared" si="118"/>
        <v>0</v>
      </c>
      <c r="AU77" s="16">
        <f t="shared" si="119"/>
        <v>1</v>
      </c>
      <c r="AV77" s="16">
        <f t="shared" si="120"/>
        <v>1</v>
      </c>
      <c r="AW77" s="16">
        <f t="shared" si="121"/>
        <v>1</v>
      </c>
      <c r="AX77" s="16">
        <f t="shared" si="122"/>
        <v>1</v>
      </c>
      <c r="AY77" s="16">
        <f t="shared" si="123"/>
        <v>1</v>
      </c>
      <c r="AZ77" s="16">
        <f t="shared" si="124"/>
        <v>0</v>
      </c>
      <c r="BA77" s="17">
        <f t="shared" si="125"/>
        <v>1</v>
      </c>
    </row>
    <row r="78" spans="1:53" ht="15.6" x14ac:dyDescent="0.3">
      <c r="A78" s="203" t="s">
        <v>72</v>
      </c>
      <c r="B78" s="257">
        <v>43952</v>
      </c>
      <c r="C78" s="94">
        <v>43982</v>
      </c>
      <c r="D78" s="237">
        <v>680</v>
      </c>
      <c r="E78" s="96">
        <v>660</v>
      </c>
      <c r="F78" s="97">
        <v>0</v>
      </c>
      <c r="G78" s="95">
        <v>1640</v>
      </c>
      <c r="H78" s="96">
        <v>1800</v>
      </c>
      <c r="I78" s="97">
        <v>0</v>
      </c>
      <c r="J78" s="95">
        <v>1240</v>
      </c>
      <c r="K78" s="96">
        <v>1100</v>
      </c>
      <c r="L78" s="97">
        <v>0</v>
      </c>
      <c r="M78" s="95">
        <v>1240</v>
      </c>
      <c r="N78" s="96">
        <v>1200</v>
      </c>
      <c r="O78" s="97">
        <v>0</v>
      </c>
      <c r="P78" s="95">
        <v>542</v>
      </c>
      <c r="Q78" s="96">
        <v>800</v>
      </c>
      <c r="R78" s="97">
        <v>0</v>
      </c>
      <c r="S78" s="95">
        <v>310</v>
      </c>
      <c r="T78" s="96">
        <v>400</v>
      </c>
      <c r="U78" s="97">
        <v>0</v>
      </c>
      <c r="V78" s="95">
        <v>1000</v>
      </c>
      <c r="W78" s="96">
        <v>2180</v>
      </c>
      <c r="X78" s="97">
        <v>0</v>
      </c>
      <c r="Y78" s="95">
        <v>980</v>
      </c>
      <c r="Z78" s="96">
        <v>980</v>
      </c>
      <c r="AA78" s="97">
        <v>0</v>
      </c>
      <c r="AB78" s="95">
        <v>500</v>
      </c>
      <c r="AC78" s="96">
        <v>370</v>
      </c>
      <c r="AD78" s="97">
        <v>0</v>
      </c>
      <c r="AE78" s="95">
        <v>800</v>
      </c>
      <c r="AF78" s="96">
        <v>1000</v>
      </c>
      <c r="AG78" s="97">
        <v>0</v>
      </c>
      <c r="AH78" s="265">
        <f>+Janvier!AJ78</f>
        <v>304.98626373626377</v>
      </c>
      <c r="AI78" s="231">
        <f>+Janvier!AK78</f>
        <v>948.84615384615404</v>
      </c>
      <c r="AJ78" s="231">
        <f>+Janvier!AL78</f>
        <v>711.63461538461547</v>
      </c>
      <c r="AK78" s="231">
        <f>+Janvier!AM78</f>
        <v>711.63461538461547</v>
      </c>
      <c r="AL78" s="231">
        <f>+Janvier!AN78</f>
        <v>431.29370629370635</v>
      </c>
      <c r="AM78" s="231">
        <f>+Janvier!AO78</f>
        <v>266.86298076923077</v>
      </c>
      <c r="AN78" s="231">
        <f>+Janvier!AP78</f>
        <v>533.72596153846155</v>
      </c>
      <c r="AO78" s="231">
        <f>+Janvier!AQ78</f>
        <v>266.86298076923077</v>
      </c>
      <c r="AP78" s="231">
        <f>+Janvier!AR78</f>
        <v>266.86298076923077</v>
      </c>
      <c r="AQ78" s="231">
        <f>+Janvier!AS78</f>
        <v>474.42307692307702</v>
      </c>
      <c r="AR78" s="16">
        <f t="shared" si="116"/>
        <v>11</v>
      </c>
      <c r="AS78" s="16">
        <f t="shared" si="117"/>
        <v>9</v>
      </c>
      <c r="AT78" s="16">
        <f t="shared" si="118"/>
        <v>8</v>
      </c>
      <c r="AU78" s="16">
        <f t="shared" si="119"/>
        <v>8</v>
      </c>
      <c r="AV78" s="16">
        <f t="shared" si="120"/>
        <v>9</v>
      </c>
      <c r="AW78" s="16">
        <f t="shared" si="121"/>
        <v>7</v>
      </c>
      <c r="AX78" s="16">
        <f t="shared" si="122"/>
        <v>20</v>
      </c>
      <c r="AY78" s="16">
        <f t="shared" si="123"/>
        <v>18</v>
      </c>
      <c r="AZ78" s="16">
        <f t="shared" si="124"/>
        <v>7</v>
      </c>
      <c r="BA78" s="17">
        <f t="shared" si="125"/>
        <v>11</v>
      </c>
    </row>
    <row r="79" spans="1:53" ht="16.2" thickBot="1" x14ac:dyDescent="0.35">
      <c r="A79" s="203" t="s">
        <v>73</v>
      </c>
      <c r="B79" s="270">
        <v>43952</v>
      </c>
      <c r="C79" s="255">
        <v>43982</v>
      </c>
      <c r="D79" s="269">
        <v>2240</v>
      </c>
      <c r="E79" s="109">
        <v>620</v>
      </c>
      <c r="F79" s="110">
        <v>0</v>
      </c>
      <c r="G79" s="111">
        <v>5960</v>
      </c>
      <c r="H79" s="109">
        <v>700</v>
      </c>
      <c r="I79" s="110">
        <v>0</v>
      </c>
      <c r="J79" s="111">
        <v>4780</v>
      </c>
      <c r="K79" s="109">
        <v>380</v>
      </c>
      <c r="L79" s="110">
        <v>0</v>
      </c>
      <c r="M79" s="111">
        <v>4648</v>
      </c>
      <c r="N79" s="109">
        <v>48</v>
      </c>
      <c r="O79" s="110">
        <v>0</v>
      </c>
      <c r="P79" s="111">
        <v>2963</v>
      </c>
      <c r="Q79" s="109">
        <v>756</v>
      </c>
      <c r="R79" s="110">
        <v>0</v>
      </c>
      <c r="S79" s="111">
        <v>1620</v>
      </c>
      <c r="T79" s="109">
        <v>150</v>
      </c>
      <c r="U79" s="110">
        <v>0</v>
      </c>
      <c r="V79" s="111">
        <v>2800</v>
      </c>
      <c r="W79" s="109">
        <v>1520</v>
      </c>
      <c r="X79" s="110">
        <v>0</v>
      </c>
      <c r="Y79" s="111">
        <v>1800</v>
      </c>
      <c r="Z79" s="109">
        <v>600</v>
      </c>
      <c r="AA79" s="110">
        <v>0</v>
      </c>
      <c r="AB79" s="111">
        <v>1720</v>
      </c>
      <c r="AC79" s="109">
        <v>1110</v>
      </c>
      <c r="AD79" s="110">
        <v>0</v>
      </c>
      <c r="AE79" s="111">
        <v>1920</v>
      </c>
      <c r="AF79" s="109">
        <v>2370</v>
      </c>
      <c r="AG79" s="110">
        <v>0</v>
      </c>
      <c r="AH79" s="265">
        <f>+Janvier!AJ79</f>
        <v>2652.2802197802202</v>
      </c>
      <c r="AI79" s="231">
        <f>+Janvier!AK79</f>
        <v>8251.5384615384628</v>
      </c>
      <c r="AJ79" s="231">
        <f>+Janvier!AL79</f>
        <v>6188.6538461538466</v>
      </c>
      <c r="AK79" s="231">
        <f>+Janvier!AM79</f>
        <v>6188.6538461538466</v>
      </c>
      <c r="AL79" s="231">
        <f>+Janvier!AN79</f>
        <v>3750.6993006993016</v>
      </c>
      <c r="AM79" s="231">
        <f>+Janvier!AO79</f>
        <v>2320.7451923076924</v>
      </c>
      <c r="AN79" s="231">
        <f>+Janvier!AP79</f>
        <v>4641.4903846153848</v>
      </c>
      <c r="AO79" s="231">
        <f>+Janvier!AQ79</f>
        <v>2320.7451923076924</v>
      </c>
      <c r="AP79" s="231">
        <f>+Janvier!AR79</f>
        <v>2320.7451923076924</v>
      </c>
      <c r="AQ79" s="231">
        <f>+Janvier!AS79</f>
        <v>4125.7692307692314</v>
      </c>
      <c r="AR79" s="32">
        <f t="shared" si="116"/>
        <v>1</v>
      </c>
      <c r="AS79" s="32">
        <f t="shared" si="117"/>
        <v>0</v>
      </c>
      <c r="AT79" s="32">
        <f t="shared" si="118"/>
        <v>0</v>
      </c>
      <c r="AU79" s="32">
        <f t="shared" si="119"/>
        <v>0</v>
      </c>
      <c r="AV79" s="32">
        <f t="shared" si="120"/>
        <v>1</v>
      </c>
      <c r="AW79" s="32">
        <f t="shared" si="121"/>
        <v>0</v>
      </c>
      <c r="AX79" s="32">
        <f t="shared" si="122"/>
        <v>2</v>
      </c>
      <c r="AY79" s="32">
        <f t="shared" si="123"/>
        <v>1</v>
      </c>
      <c r="AZ79" s="32">
        <f t="shared" si="124"/>
        <v>2</v>
      </c>
      <c r="BA79" s="33">
        <f t="shared" si="125"/>
        <v>3</v>
      </c>
    </row>
    <row r="80" spans="1:53" ht="15.6" x14ac:dyDescent="0.3">
      <c r="A80" s="202" t="s">
        <v>90</v>
      </c>
      <c r="B80" s="256" t="s">
        <v>145</v>
      </c>
      <c r="C80" s="160">
        <v>43982</v>
      </c>
      <c r="D80" s="113">
        <v>0</v>
      </c>
      <c r="E80" s="114">
        <v>10920</v>
      </c>
      <c r="F80" s="115">
        <v>0</v>
      </c>
      <c r="G80" s="113">
        <v>0</v>
      </c>
      <c r="H80" s="114">
        <v>21000</v>
      </c>
      <c r="I80" s="115">
        <v>0</v>
      </c>
      <c r="J80" s="113">
        <v>0</v>
      </c>
      <c r="K80" s="114">
        <v>17100</v>
      </c>
      <c r="L80" s="115">
        <v>0</v>
      </c>
      <c r="M80" s="113">
        <v>0</v>
      </c>
      <c r="N80" s="114">
        <v>17000</v>
      </c>
      <c r="O80" s="115">
        <v>0</v>
      </c>
      <c r="P80" s="113">
        <v>21000</v>
      </c>
      <c r="Q80" s="114">
        <v>22550</v>
      </c>
      <c r="R80" s="115">
        <v>0</v>
      </c>
      <c r="S80" s="113">
        <v>0</v>
      </c>
      <c r="T80" s="114">
        <v>6200</v>
      </c>
      <c r="U80" s="115">
        <v>0</v>
      </c>
      <c r="V80" s="113">
        <v>0</v>
      </c>
      <c r="W80" s="114">
        <v>22600</v>
      </c>
      <c r="X80" s="115">
        <v>0</v>
      </c>
      <c r="Y80" s="113">
        <v>0</v>
      </c>
      <c r="Z80" s="114">
        <v>9990</v>
      </c>
      <c r="AA80" s="115">
        <v>0</v>
      </c>
      <c r="AB80" s="113">
        <v>0</v>
      </c>
      <c r="AC80" s="114">
        <v>9200</v>
      </c>
      <c r="AD80" s="115">
        <v>0</v>
      </c>
      <c r="AE80" s="113">
        <v>0</v>
      </c>
      <c r="AF80" s="114">
        <v>28900</v>
      </c>
      <c r="AG80" s="115">
        <v>0</v>
      </c>
      <c r="AH80" s="231">
        <f>+Janvier!AJ80</f>
        <v>17212.634999999998</v>
      </c>
      <c r="AI80" s="231">
        <f>+Janvier!AK80</f>
        <v>59198.798076923078</v>
      </c>
      <c r="AJ80" s="231">
        <f>+Janvier!AL80</f>
        <v>39426.39951923077</v>
      </c>
      <c r="AK80" s="231">
        <f>+Janvier!AM80</f>
        <v>39426.39951923077</v>
      </c>
      <c r="AL80" s="231">
        <f>+Janvier!AN80</f>
        <v>24863.495192307691</v>
      </c>
      <c r="AM80" s="231">
        <f>+Janvier!AO80</f>
        <v>14799.69951923077</v>
      </c>
      <c r="AN80" s="231">
        <f>+Janvier!AP80</f>
        <v>29599.399038461539</v>
      </c>
      <c r="AO80" s="231">
        <f>+Janvier!AQ80</f>
        <v>14799.69951923077</v>
      </c>
      <c r="AP80" s="231">
        <f>+Janvier!AR80</f>
        <v>14799.69951923077</v>
      </c>
      <c r="AQ80" s="231">
        <f>+Janvier!AS80</f>
        <v>26721.713076923079</v>
      </c>
      <c r="AR80" s="16">
        <f>ROUND(E80/(AH80/15),0)</f>
        <v>10</v>
      </c>
      <c r="AS80" s="16">
        <f t="shared" ref="AS80" si="126">ROUND(H80/(AI80/15),0)</f>
        <v>5</v>
      </c>
      <c r="AT80" s="16">
        <f t="shared" ref="AT80" si="127">ROUND(K80/(AJ80/15),0)</f>
        <v>7</v>
      </c>
      <c r="AU80" s="16">
        <f t="shared" ref="AU80" si="128">ROUND(N80/(AK80/15),0)</f>
        <v>6</v>
      </c>
      <c r="AV80" s="16">
        <f t="shared" ref="AV80" si="129">ROUND(Q80/(AL80/15),0)</f>
        <v>14</v>
      </c>
      <c r="AW80" s="16">
        <f t="shared" ref="AW80" si="130">ROUND(T80/(AM80/15),0)</f>
        <v>6</v>
      </c>
      <c r="AX80" s="16">
        <f t="shared" ref="AX80" si="131">ROUND(W80/(AN80/15),0)</f>
        <v>11</v>
      </c>
      <c r="AY80" s="16">
        <f t="shared" ref="AY80" si="132">ROUND(Z80/(AO80/15),0)</f>
        <v>10</v>
      </c>
      <c r="AZ80" s="16">
        <f t="shared" ref="AZ80" si="133">ROUND(AC80/(AP80/15),0)</f>
        <v>9</v>
      </c>
      <c r="BA80" s="17">
        <f t="shared" ref="BA80" si="134">ROUND(AF80/(AQ80/15),0)</f>
        <v>16</v>
      </c>
    </row>
    <row r="81" spans="1:53" ht="15.6" x14ac:dyDescent="0.3">
      <c r="A81" s="199" t="s">
        <v>74</v>
      </c>
      <c r="B81" s="257" t="s">
        <v>145</v>
      </c>
      <c r="C81" s="94">
        <v>43982</v>
      </c>
      <c r="D81" s="116">
        <v>1440</v>
      </c>
      <c r="E81" s="106">
        <v>840</v>
      </c>
      <c r="F81" s="117">
        <v>0</v>
      </c>
      <c r="G81" s="116">
        <v>4000</v>
      </c>
      <c r="H81" s="106">
        <v>2300</v>
      </c>
      <c r="I81" s="117">
        <v>0</v>
      </c>
      <c r="J81" s="116">
        <v>2600</v>
      </c>
      <c r="K81" s="106">
        <v>2310</v>
      </c>
      <c r="L81" s="117">
        <v>0</v>
      </c>
      <c r="M81" s="116">
        <v>2400</v>
      </c>
      <c r="N81" s="106">
        <v>2348</v>
      </c>
      <c r="O81" s="117">
        <v>0</v>
      </c>
      <c r="P81" s="116">
        <v>1650</v>
      </c>
      <c r="Q81" s="106">
        <v>1576</v>
      </c>
      <c r="R81" s="117">
        <v>0</v>
      </c>
      <c r="S81" s="116">
        <v>900</v>
      </c>
      <c r="T81" s="106">
        <v>860</v>
      </c>
      <c r="U81" s="117">
        <v>0</v>
      </c>
      <c r="V81" s="116">
        <v>1500</v>
      </c>
      <c r="W81" s="106">
        <v>1980</v>
      </c>
      <c r="X81" s="117">
        <v>0</v>
      </c>
      <c r="Y81" s="116">
        <v>1000</v>
      </c>
      <c r="Z81" s="106">
        <v>980</v>
      </c>
      <c r="AA81" s="117">
        <v>0</v>
      </c>
      <c r="AB81" s="116">
        <v>1000</v>
      </c>
      <c r="AC81" s="106">
        <v>1030</v>
      </c>
      <c r="AD81" s="117">
        <v>0</v>
      </c>
      <c r="AE81" s="116">
        <v>1600</v>
      </c>
      <c r="AF81" s="106">
        <v>2270</v>
      </c>
      <c r="AG81" s="117">
        <v>0</v>
      </c>
      <c r="AH81" s="231">
        <f>+Janvier!AJ81</f>
        <v>1153.1868131868132</v>
      </c>
      <c r="AI81" s="231">
        <f>+Janvier!AK81</f>
        <v>3587.6923076923085</v>
      </c>
      <c r="AJ81" s="231">
        <f>+Janvier!AL81</f>
        <v>2690.7692307692309</v>
      </c>
      <c r="AK81" s="231">
        <f>+Janvier!AM81</f>
        <v>2690.7692307692309</v>
      </c>
      <c r="AL81" s="231">
        <f>+Janvier!AN81</f>
        <v>1630.7692307692312</v>
      </c>
      <c r="AM81" s="231">
        <f>+Janvier!AO81</f>
        <v>1009.0384615384617</v>
      </c>
      <c r="AN81" s="231">
        <f>+Janvier!AP81</f>
        <v>2018.0769230769233</v>
      </c>
      <c r="AO81" s="231">
        <f>+Janvier!AQ81</f>
        <v>1009.0384615384617</v>
      </c>
      <c r="AP81" s="231">
        <f>+Janvier!AR81</f>
        <v>1009.0384615384617</v>
      </c>
      <c r="AQ81" s="231">
        <f>+Janvier!AS81</f>
        <v>1793.8461538461543</v>
      </c>
      <c r="AR81" s="16">
        <f>ROUND(E81/(AH81/5),0)</f>
        <v>4</v>
      </c>
      <c r="AS81" s="16">
        <f t="shared" ref="AS81:AS85" si="135">ROUND(H81/(AI81/5),0)</f>
        <v>3</v>
      </c>
      <c r="AT81" s="16">
        <f t="shared" ref="AT81:AT85" si="136">ROUND(K81/(AJ81/5),0)</f>
        <v>4</v>
      </c>
      <c r="AU81" s="16">
        <f t="shared" ref="AU81:AU85" si="137">ROUND(N81/(AK81/5),0)</f>
        <v>4</v>
      </c>
      <c r="AV81" s="16">
        <f t="shared" ref="AV81:AV85" si="138">ROUND(Q81/(AL81/5),0)</f>
        <v>5</v>
      </c>
      <c r="AW81" s="16">
        <f t="shared" ref="AW81:AW85" si="139">ROUND(T81/(AM81/5),0)</f>
        <v>4</v>
      </c>
      <c r="AX81" s="16">
        <f t="shared" ref="AX81:AX85" si="140">ROUND(W81/(AN81/5),0)</f>
        <v>5</v>
      </c>
      <c r="AY81" s="16">
        <f t="shared" ref="AY81:AY85" si="141">ROUND(Z81/(AO81/5),0)</f>
        <v>5</v>
      </c>
      <c r="AZ81" s="16">
        <f t="shared" ref="AZ81:AZ85" si="142">ROUND(AC81/(AP81/5),0)</f>
        <v>5</v>
      </c>
      <c r="BA81" s="17">
        <f t="shared" ref="BA81:BA85" si="143">ROUND(AF81/(AQ81/5),0)</f>
        <v>6</v>
      </c>
    </row>
    <row r="82" spans="1:53" ht="15.6" x14ac:dyDescent="0.3">
      <c r="A82" s="199" t="s">
        <v>75</v>
      </c>
      <c r="B82" s="257" t="s">
        <v>145</v>
      </c>
      <c r="C82" s="94">
        <v>43982</v>
      </c>
      <c r="D82" s="95">
        <v>1000</v>
      </c>
      <c r="E82" s="96">
        <v>960</v>
      </c>
      <c r="F82" s="97">
        <v>0</v>
      </c>
      <c r="G82" s="95">
        <v>3000</v>
      </c>
      <c r="H82" s="96">
        <v>2780</v>
      </c>
      <c r="I82" s="97">
        <v>0</v>
      </c>
      <c r="J82" s="95">
        <v>3000</v>
      </c>
      <c r="K82" s="96">
        <v>2190</v>
      </c>
      <c r="L82" s="97">
        <v>0</v>
      </c>
      <c r="M82" s="95">
        <v>2600</v>
      </c>
      <c r="N82" s="96">
        <v>1876</v>
      </c>
      <c r="O82" s="97">
        <v>0</v>
      </c>
      <c r="P82" s="95">
        <v>1500</v>
      </c>
      <c r="Q82" s="96">
        <v>662</v>
      </c>
      <c r="R82" s="97">
        <v>0</v>
      </c>
      <c r="S82" s="95">
        <v>500</v>
      </c>
      <c r="T82" s="96">
        <v>500</v>
      </c>
      <c r="U82" s="97">
        <v>0</v>
      </c>
      <c r="V82" s="95">
        <v>1300</v>
      </c>
      <c r="W82" s="96">
        <v>2270</v>
      </c>
      <c r="X82" s="97">
        <v>0</v>
      </c>
      <c r="Y82" s="95">
        <v>600</v>
      </c>
      <c r="Z82" s="96">
        <v>920</v>
      </c>
      <c r="AA82" s="97">
        <v>0</v>
      </c>
      <c r="AB82" s="95">
        <v>800</v>
      </c>
      <c r="AC82" s="96">
        <v>1020</v>
      </c>
      <c r="AD82" s="97">
        <v>0</v>
      </c>
      <c r="AE82" s="95">
        <v>300</v>
      </c>
      <c r="AF82" s="96">
        <v>1400</v>
      </c>
      <c r="AG82" s="97">
        <v>0</v>
      </c>
      <c r="AH82" s="231">
        <f>+Janvier!AJ82</f>
        <v>1355.5631868131868</v>
      </c>
      <c r="AI82" s="231">
        <f>+Janvier!AK82</f>
        <v>4217.3076923076924</v>
      </c>
      <c r="AJ82" s="231">
        <f>+Janvier!AL82</f>
        <v>3162.9807692307691</v>
      </c>
      <c r="AK82" s="231">
        <f>+Janvier!AM82</f>
        <v>3162.9807692307691</v>
      </c>
      <c r="AL82" s="231">
        <f>+Janvier!AN82</f>
        <v>1916.9580419580418</v>
      </c>
      <c r="AM82" s="231">
        <f>+Janvier!AO82</f>
        <v>1186.1177884615383</v>
      </c>
      <c r="AN82" s="231">
        <f>+Janvier!AP82</f>
        <v>2372.2355769230767</v>
      </c>
      <c r="AO82" s="231">
        <f>+Janvier!AQ82</f>
        <v>1186.1177884615383</v>
      </c>
      <c r="AP82" s="231">
        <f>+Janvier!AR82</f>
        <v>1186.1177884615383</v>
      </c>
      <c r="AQ82" s="231">
        <f>+Janvier!AS82</f>
        <v>2108.6538461538462</v>
      </c>
      <c r="AR82" s="16">
        <f>ROUND(E82/(AH82/5),0)</f>
        <v>4</v>
      </c>
      <c r="AS82" s="16">
        <f t="shared" si="135"/>
        <v>3</v>
      </c>
      <c r="AT82" s="16">
        <f t="shared" si="136"/>
        <v>3</v>
      </c>
      <c r="AU82" s="16">
        <f t="shared" si="137"/>
        <v>3</v>
      </c>
      <c r="AV82" s="16">
        <f t="shared" si="138"/>
        <v>2</v>
      </c>
      <c r="AW82" s="16">
        <f t="shared" si="139"/>
        <v>2</v>
      </c>
      <c r="AX82" s="16">
        <f t="shared" si="140"/>
        <v>5</v>
      </c>
      <c r="AY82" s="16">
        <f t="shared" si="141"/>
        <v>4</v>
      </c>
      <c r="AZ82" s="16">
        <f t="shared" si="142"/>
        <v>4</v>
      </c>
      <c r="BA82" s="17">
        <f t="shared" si="143"/>
        <v>3</v>
      </c>
    </row>
    <row r="83" spans="1:53" ht="15.6" x14ac:dyDescent="0.3">
      <c r="A83" s="199" t="s">
        <v>76</v>
      </c>
      <c r="B83" s="257" t="s">
        <v>145</v>
      </c>
      <c r="C83" s="94">
        <v>43982</v>
      </c>
      <c r="D83" s="95">
        <v>1200</v>
      </c>
      <c r="E83" s="96">
        <v>400</v>
      </c>
      <c r="F83" s="97">
        <v>0</v>
      </c>
      <c r="G83" s="95">
        <v>3000</v>
      </c>
      <c r="H83" s="96">
        <v>1900</v>
      </c>
      <c r="I83" s="97">
        <v>0</v>
      </c>
      <c r="J83" s="95">
        <v>1400</v>
      </c>
      <c r="K83" s="96">
        <v>1490</v>
      </c>
      <c r="L83" s="97">
        <v>0</v>
      </c>
      <c r="M83" s="95">
        <v>1800</v>
      </c>
      <c r="N83" s="96">
        <v>1844</v>
      </c>
      <c r="O83" s="97">
        <v>0</v>
      </c>
      <c r="P83" s="95">
        <v>1100</v>
      </c>
      <c r="Q83" s="96">
        <v>945</v>
      </c>
      <c r="R83" s="97">
        <v>0</v>
      </c>
      <c r="S83" s="95">
        <v>500</v>
      </c>
      <c r="T83" s="96">
        <v>440</v>
      </c>
      <c r="U83" s="97">
        <v>0</v>
      </c>
      <c r="V83" s="95">
        <v>1100</v>
      </c>
      <c r="W83" s="96">
        <v>1670</v>
      </c>
      <c r="X83" s="97">
        <v>0</v>
      </c>
      <c r="Y83" s="95">
        <v>800</v>
      </c>
      <c r="Z83" s="96">
        <v>690</v>
      </c>
      <c r="AA83" s="97">
        <v>0</v>
      </c>
      <c r="AB83" s="95">
        <v>800</v>
      </c>
      <c r="AC83" s="96">
        <v>690</v>
      </c>
      <c r="AD83" s="97">
        <v>0</v>
      </c>
      <c r="AE83" s="95">
        <v>700</v>
      </c>
      <c r="AF83" s="96">
        <v>1630</v>
      </c>
      <c r="AG83" s="97">
        <v>0</v>
      </c>
      <c r="AH83" s="231">
        <f>+Janvier!AJ83</f>
        <v>895.92032967032981</v>
      </c>
      <c r="AI83" s="231">
        <f>+Janvier!AK83</f>
        <v>2787.3076923076928</v>
      </c>
      <c r="AJ83" s="231">
        <f>+Janvier!AL83</f>
        <v>2090.4807692307695</v>
      </c>
      <c r="AK83" s="231">
        <f>+Janvier!AM83</f>
        <v>2090.4807692307695</v>
      </c>
      <c r="AL83" s="231">
        <f>+Janvier!AN83</f>
        <v>1266.958041958042</v>
      </c>
      <c r="AM83" s="231">
        <f>+Janvier!AO83</f>
        <v>783.93028846153834</v>
      </c>
      <c r="AN83" s="231">
        <f>+Janvier!AP83</f>
        <v>1567.8605769230767</v>
      </c>
      <c r="AO83" s="231">
        <f>+Janvier!AQ83</f>
        <v>783.93028846153834</v>
      </c>
      <c r="AP83" s="231">
        <f>+Janvier!AR83</f>
        <v>783.93028846153834</v>
      </c>
      <c r="AQ83" s="231">
        <f>+Janvier!AS83</f>
        <v>1393.6538461538464</v>
      </c>
      <c r="AR83" s="16">
        <f>ROUND(E83/(AH83/5),0)</f>
        <v>2</v>
      </c>
      <c r="AS83" s="16">
        <f t="shared" si="135"/>
        <v>3</v>
      </c>
      <c r="AT83" s="16">
        <f t="shared" si="136"/>
        <v>4</v>
      </c>
      <c r="AU83" s="16">
        <f t="shared" si="137"/>
        <v>4</v>
      </c>
      <c r="AV83" s="16">
        <f t="shared" si="138"/>
        <v>4</v>
      </c>
      <c r="AW83" s="16">
        <f t="shared" si="139"/>
        <v>3</v>
      </c>
      <c r="AX83" s="16">
        <f t="shared" si="140"/>
        <v>5</v>
      </c>
      <c r="AY83" s="16">
        <f t="shared" si="141"/>
        <v>4</v>
      </c>
      <c r="AZ83" s="16">
        <f t="shared" si="142"/>
        <v>4</v>
      </c>
      <c r="BA83" s="17">
        <f t="shared" si="143"/>
        <v>6</v>
      </c>
    </row>
    <row r="84" spans="1:53" ht="15.6" x14ac:dyDescent="0.3">
      <c r="A84" s="199" t="s">
        <v>77</v>
      </c>
      <c r="B84" s="257" t="s">
        <v>145</v>
      </c>
      <c r="C84" s="94">
        <v>43982</v>
      </c>
      <c r="D84" s="95">
        <v>1200</v>
      </c>
      <c r="E84" s="96">
        <v>860</v>
      </c>
      <c r="F84" s="97">
        <v>0</v>
      </c>
      <c r="G84" s="95">
        <v>4000</v>
      </c>
      <c r="H84" s="96">
        <v>1900</v>
      </c>
      <c r="I84" s="97">
        <v>0</v>
      </c>
      <c r="J84" s="95">
        <v>3000</v>
      </c>
      <c r="K84" s="96">
        <v>1500</v>
      </c>
      <c r="L84" s="97">
        <v>0</v>
      </c>
      <c r="M84" s="95">
        <v>3000</v>
      </c>
      <c r="N84" s="96">
        <v>1572</v>
      </c>
      <c r="O84" s="97">
        <v>0</v>
      </c>
      <c r="P84" s="95">
        <v>1800</v>
      </c>
      <c r="Q84" s="96">
        <v>788</v>
      </c>
      <c r="R84" s="97">
        <v>0</v>
      </c>
      <c r="S84" s="95">
        <v>900</v>
      </c>
      <c r="T84" s="96">
        <v>710</v>
      </c>
      <c r="U84" s="97">
        <v>0</v>
      </c>
      <c r="V84" s="95">
        <v>1000</v>
      </c>
      <c r="W84" s="96">
        <v>2290</v>
      </c>
      <c r="X84" s="97">
        <v>0</v>
      </c>
      <c r="Y84" s="95">
        <v>800</v>
      </c>
      <c r="Z84" s="96">
        <v>930</v>
      </c>
      <c r="AA84" s="97">
        <v>0</v>
      </c>
      <c r="AB84" s="95">
        <v>1000</v>
      </c>
      <c r="AC84" s="96">
        <v>950</v>
      </c>
      <c r="AD84" s="97">
        <v>0</v>
      </c>
      <c r="AE84" s="95">
        <v>1000</v>
      </c>
      <c r="AF84" s="96">
        <v>1770</v>
      </c>
      <c r="AG84" s="97">
        <v>0</v>
      </c>
      <c r="AH84" s="231">
        <f>+Janvier!AJ84</f>
        <v>1507.1291208791208</v>
      </c>
      <c r="AI84" s="231">
        <f>+Janvier!AK84</f>
        <v>4688.8461538461534</v>
      </c>
      <c r="AJ84" s="231">
        <f>+Janvier!AL84</f>
        <v>3516.6346153846152</v>
      </c>
      <c r="AK84" s="231">
        <f>+Janvier!AM84</f>
        <v>3516.6346153846152</v>
      </c>
      <c r="AL84" s="231">
        <f>+Janvier!AN84</f>
        <v>2131.2937062937062</v>
      </c>
      <c r="AM84" s="231">
        <f>+Janvier!AO84</f>
        <v>1318.7379807692307</v>
      </c>
      <c r="AN84" s="231">
        <f>+Janvier!AP84</f>
        <v>2637.4759615384614</v>
      </c>
      <c r="AO84" s="231">
        <f>+Janvier!AQ84</f>
        <v>1318.7379807692307</v>
      </c>
      <c r="AP84" s="231">
        <f>+Janvier!AR84</f>
        <v>1318.7379807692307</v>
      </c>
      <c r="AQ84" s="231">
        <f>+Janvier!AS84</f>
        <v>2344.4230769230767</v>
      </c>
      <c r="AR84" s="16">
        <f>ROUND(E84/(AH84/5),0)</f>
        <v>3</v>
      </c>
      <c r="AS84" s="16">
        <f t="shared" si="135"/>
        <v>2</v>
      </c>
      <c r="AT84" s="16">
        <f t="shared" si="136"/>
        <v>2</v>
      </c>
      <c r="AU84" s="16">
        <f t="shared" si="137"/>
        <v>2</v>
      </c>
      <c r="AV84" s="16">
        <f t="shared" si="138"/>
        <v>2</v>
      </c>
      <c r="AW84" s="16">
        <f t="shared" si="139"/>
        <v>3</v>
      </c>
      <c r="AX84" s="16">
        <f t="shared" si="140"/>
        <v>4</v>
      </c>
      <c r="AY84" s="16">
        <f t="shared" si="141"/>
        <v>4</v>
      </c>
      <c r="AZ84" s="16">
        <f t="shared" si="142"/>
        <v>4</v>
      </c>
      <c r="BA84" s="17">
        <f t="shared" si="143"/>
        <v>4</v>
      </c>
    </row>
    <row r="85" spans="1:53" ht="15" thickBot="1" x14ac:dyDescent="0.35">
      <c r="A85" s="121" t="s">
        <v>78</v>
      </c>
      <c r="B85" s="258" t="s">
        <v>145</v>
      </c>
      <c r="C85" s="143">
        <v>43982</v>
      </c>
      <c r="D85" s="111">
        <v>560</v>
      </c>
      <c r="E85" s="109">
        <v>140</v>
      </c>
      <c r="F85" s="110">
        <v>0</v>
      </c>
      <c r="G85" s="111">
        <v>2000</v>
      </c>
      <c r="H85" s="109">
        <v>260</v>
      </c>
      <c r="I85" s="110">
        <v>0</v>
      </c>
      <c r="J85" s="111">
        <v>1600</v>
      </c>
      <c r="K85" s="109">
        <v>470</v>
      </c>
      <c r="L85" s="110">
        <v>0</v>
      </c>
      <c r="M85" s="111">
        <v>1400</v>
      </c>
      <c r="N85" s="109">
        <v>516</v>
      </c>
      <c r="O85" s="110">
        <v>0</v>
      </c>
      <c r="P85" s="111">
        <v>1150</v>
      </c>
      <c r="Q85" s="109">
        <v>784</v>
      </c>
      <c r="R85" s="110">
        <v>0</v>
      </c>
      <c r="S85" s="111">
        <v>500</v>
      </c>
      <c r="T85" s="109">
        <v>150</v>
      </c>
      <c r="U85" s="110">
        <v>0</v>
      </c>
      <c r="V85" s="111">
        <v>1400</v>
      </c>
      <c r="W85" s="109">
        <v>1400</v>
      </c>
      <c r="X85" s="110">
        <v>0</v>
      </c>
      <c r="Y85" s="111">
        <v>430</v>
      </c>
      <c r="Z85" s="109">
        <v>670</v>
      </c>
      <c r="AA85" s="110">
        <v>0</v>
      </c>
      <c r="AB85" s="111">
        <v>500</v>
      </c>
      <c r="AC85" s="109">
        <v>660</v>
      </c>
      <c r="AD85" s="110">
        <v>0</v>
      </c>
      <c r="AE85" s="111">
        <v>500</v>
      </c>
      <c r="AF85" s="109">
        <v>1480</v>
      </c>
      <c r="AG85" s="110">
        <v>0</v>
      </c>
      <c r="AH85" s="231">
        <f>+Janvier!AJ85</f>
        <v>726.18131868131866</v>
      </c>
      <c r="AI85" s="231">
        <f>+Janvier!AK85</f>
        <v>2259.2307692307695</v>
      </c>
      <c r="AJ85" s="231">
        <f>+Janvier!AL85</f>
        <v>1694.4230769230774</v>
      </c>
      <c r="AK85" s="231">
        <f>+Janvier!AM85</f>
        <v>1694.4230769230774</v>
      </c>
      <c r="AL85" s="231">
        <f>+Janvier!AN85</f>
        <v>1026.9230769230771</v>
      </c>
      <c r="AM85" s="231">
        <f>+Janvier!AO85</f>
        <v>635.40865384615381</v>
      </c>
      <c r="AN85" s="231">
        <f>+Janvier!AP85</f>
        <v>1270.8173076923076</v>
      </c>
      <c r="AO85" s="231">
        <f>+Janvier!AQ85</f>
        <v>635.40865384615381</v>
      </c>
      <c r="AP85" s="231">
        <f>+Janvier!AR85</f>
        <v>635.40865384615381</v>
      </c>
      <c r="AQ85" s="231">
        <f>+Janvier!AS85</f>
        <v>1129.6153846153848</v>
      </c>
      <c r="AR85" s="16">
        <f>ROUND(E85/(AH85/5),0)</f>
        <v>1</v>
      </c>
      <c r="AS85" s="16">
        <f t="shared" si="135"/>
        <v>1</v>
      </c>
      <c r="AT85" s="16">
        <f t="shared" si="136"/>
        <v>1</v>
      </c>
      <c r="AU85" s="16">
        <f t="shared" si="137"/>
        <v>2</v>
      </c>
      <c r="AV85" s="16">
        <f t="shared" si="138"/>
        <v>4</v>
      </c>
      <c r="AW85" s="16">
        <f t="shared" si="139"/>
        <v>1</v>
      </c>
      <c r="AX85" s="16">
        <f t="shared" si="140"/>
        <v>6</v>
      </c>
      <c r="AY85" s="16">
        <f t="shared" si="141"/>
        <v>5</v>
      </c>
      <c r="AZ85" s="16">
        <f t="shared" si="142"/>
        <v>5</v>
      </c>
      <c r="BA85" s="17">
        <f t="shared" si="143"/>
        <v>7</v>
      </c>
    </row>
    <row r="86" spans="1:53" x14ac:dyDescent="0.3">
      <c r="B86" s="192"/>
      <c r="C86" s="3"/>
      <c r="D86" s="3"/>
      <c r="E86" s="192"/>
      <c r="F86" s="192"/>
      <c r="G86" s="192"/>
      <c r="H86" s="192"/>
      <c r="I86" s="192"/>
      <c r="J86" s="192"/>
      <c r="K86" s="192"/>
      <c r="L86" s="192"/>
      <c r="M86" s="192"/>
      <c r="N86" s="192"/>
      <c r="O86" s="192"/>
      <c r="P86" s="192"/>
      <c r="Q86" s="192"/>
      <c r="R86" s="192"/>
      <c r="S86" s="192"/>
      <c r="T86" s="192"/>
      <c r="U86" s="192"/>
      <c r="V86" s="192"/>
      <c r="W86" s="192"/>
      <c r="X86" s="192"/>
      <c r="Y86" s="192"/>
      <c r="Z86" s="192"/>
      <c r="AA86" s="192"/>
      <c r="AB86" s="192"/>
      <c r="AC86" s="192"/>
      <c r="AD86" s="192"/>
      <c r="AE86" s="192"/>
      <c r="AF86" s="192"/>
      <c r="AG86" s="192"/>
      <c r="AR86" s="183" t="s">
        <v>2</v>
      </c>
      <c r="AS86" s="183" t="s">
        <v>80</v>
      </c>
      <c r="AT86" s="183" t="s">
        <v>81</v>
      </c>
      <c r="AU86" s="183" t="s">
        <v>5</v>
      </c>
      <c r="AV86" s="183" t="s">
        <v>82</v>
      </c>
      <c r="AW86" s="183" t="s">
        <v>7</v>
      </c>
      <c r="AX86" s="183" t="s">
        <v>8</v>
      </c>
      <c r="AY86" s="183" t="s">
        <v>9</v>
      </c>
      <c r="AZ86" s="183" t="s">
        <v>10</v>
      </c>
      <c r="BA86" s="183" t="s">
        <v>11</v>
      </c>
    </row>
    <row r="87" spans="1:53" x14ac:dyDescent="0.3">
      <c r="B87" s="192"/>
      <c r="C87" s="3"/>
      <c r="D87" s="3"/>
      <c r="E87" s="192"/>
      <c r="F87" s="192"/>
      <c r="G87" s="192"/>
      <c r="H87" s="192"/>
      <c r="I87" s="192"/>
      <c r="J87" s="192"/>
      <c r="K87" s="192"/>
      <c r="L87" s="192"/>
      <c r="M87" s="192"/>
      <c r="N87" s="192"/>
      <c r="O87" s="192"/>
      <c r="P87" s="192"/>
      <c r="Q87" s="192"/>
      <c r="R87" s="192"/>
      <c r="S87" s="192"/>
      <c r="T87" s="192"/>
      <c r="U87" s="192"/>
      <c r="V87" s="192"/>
      <c r="W87" s="192"/>
      <c r="X87" s="192"/>
      <c r="Y87" s="192"/>
      <c r="Z87" s="192"/>
      <c r="AA87" s="192"/>
      <c r="AB87" s="192"/>
      <c r="AC87" s="192"/>
      <c r="AD87" s="192"/>
      <c r="AE87" s="192"/>
      <c r="AF87" s="192"/>
      <c r="AG87" s="192"/>
    </row>
  </sheetData>
  <mergeCells count="16">
    <mergeCell ref="D3:AF3"/>
    <mergeCell ref="AE4:AG4"/>
    <mergeCell ref="A1:AF1"/>
    <mergeCell ref="AH3:AQ3"/>
    <mergeCell ref="AR3:BA3"/>
    <mergeCell ref="A4:A5"/>
    <mergeCell ref="B4:C4"/>
    <mergeCell ref="D4:F4"/>
    <mergeCell ref="G4:I4"/>
    <mergeCell ref="J4:L4"/>
    <mergeCell ref="M4:O4"/>
    <mergeCell ref="P4:R4"/>
    <mergeCell ref="S4:U4"/>
    <mergeCell ref="V4:X4"/>
    <mergeCell ref="Y4:AA4"/>
    <mergeCell ref="AB4:AD4"/>
  </mergeCells>
  <conditionalFormatting sqref="AR6:BA6 AR14:BA14 AR21:BA21 AR30:BA30 AR40:BA40 AR54:BA54 AR68:BA68 AR80:BA80">
    <cfRule type="cellIs" dxfId="87" priority="5" operator="lessThanOrEqual">
      <formula>3</formula>
    </cfRule>
    <cfRule type="cellIs" dxfId="86" priority="6" operator="between">
      <formula>3.01</formula>
      <formula>5</formula>
    </cfRule>
    <cfRule type="cellIs" dxfId="85" priority="7" operator="between">
      <formula>5.01</formula>
      <formula>15</formula>
    </cfRule>
    <cfRule type="cellIs" dxfId="84" priority="8" operator="greaterThan">
      <formula>15</formula>
    </cfRule>
  </conditionalFormatting>
  <conditionalFormatting sqref="AR7:BA13 AR15:BA20 AR22:BA29 AR31:BA39 AR41:BA53 AR55:BA67 AR69:BA79 AR81:BA85">
    <cfRule type="cellIs" dxfId="83" priority="1" operator="lessThanOrEqual">
      <formula>1</formula>
    </cfRule>
    <cfRule type="cellIs" dxfId="82" priority="2" operator="between">
      <formula>1.01</formula>
      <formula>2</formula>
    </cfRule>
    <cfRule type="cellIs" dxfId="81" priority="3" operator="between">
      <formula>2.01</formula>
      <formula>5</formula>
    </cfRule>
    <cfRule type="cellIs" dxfId="80" priority="4" operator="greaterThan">
      <formula>5</formula>
    </cfRule>
  </conditionalFormatting>
  <dataValidations count="1">
    <dataValidation type="decimal" allowBlank="1" showInputMessage="1" showErrorMessage="1" promptTitle="Coverage:" prompt="Indicate the targeted immunization coverage for the current year." sqref="AH5:AQ5" xr:uid="{00000000-0002-0000-0400-000000000000}">
      <formula1>0</formula1>
      <formula2>1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A87"/>
  <sheetViews>
    <sheetView zoomScale="92" zoomScaleNormal="92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I16" sqref="I16"/>
    </sheetView>
  </sheetViews>
  <sheetFormatPr defaultColWidth="11.5546875" defaultRowHeight="14.4" x14ac:dyDescent="0.3"/>
  <cols>
    <col min="1" max="1" width="19.5546875" style="183" bestFit="1" customWidth="1"/>
    <col min="2" max="2" width="13.5546875" style="183" customWidth="1"/>
    <col min="3" max="3" width="16.5546875" style="183" customWidth="1"/>
    <col min="4" max="4" width="11.109375" style="183" customWidth="1"/>
    <col min="5" max="5" width="12.33203125" style="183" customWidth="1"/>
    <col min="6" max="7" width="12.5546875" style="183" customWidth="1"/>
    <col min="8" max="8" width="14.109375" style="183" customWidth="1"/>
    <col min="9" max="9" width="12.5546875" style="183" customWidth="1"/>
    <col min="10" max="10" width="13.88671875" style="183" customWidth="1"/>
    <col min="11" max="11" width="16" style="183" customWidth="1"/>
    <col min="12" max="12" width="9.88671875" style="183" customWidth="1"/>
    <col min="13" max="13" width="11.6640625" style="183" customWidth="1"/>
    <col min="14" max="14" width="8.44140625" style="183" customWidth="1"/>
    <col min="15" max="15" width="11.88671875" style="183" customWidth="1"/>
    <col min="16" max="16" width="10.33203125" style="183" customWidth="1"/>
    <col min="17" max="17" width="8.44140625" style="183" customWidth="1"/>
    <col min="18" max="18" width="13.44140625" style="183" customWidth="1"/>
    <col min="19" max="19" width="10.44140625" style="183" customWidth="1"/>
    <col min="20" max="20" width="7.44140625" style="183" customWidth="1"/>
    <col min="21" max="21" width="13.44140625" style="183" customWidth="1"/>
    <col min="22" max="22" width="9.5546875" style="183" customWidth="1"/>
    <col min="23" max="23" width="8.44140625" style="183" customWidth="1"/>
    <col min="24" max="24" width="12.6640625" style="183" customWidth="1"/>
    <col min="25" max="25" width="9.5546875" style="183" customWidth="1"/>
    <col min="26" max="26" width="9.44140625" style="183" customWidth="1"/>
    <col min="27" max="27" width="10" style="183" customWidth="1"/>
    <col min="28" max="28" width="9.6640625" style="183" customWidth="1"/>
    <col min="29" max="29" width="10.6640625" style="183" customWidth="1"/>
    <col min="30" max="30" width="12.33203125" style="183" customWidth="1"/>
    <col min="31" max="31" width="10" style="183" customWidth="1"/>
    <col min="32" max="32" width="10.33203125" style="183" customWidth="1"/>
    <col min="33" max="33" width="14" style="183" customWidth="1"/>
    <col min="34" max="43" width="11.6640625" style="183" customWidth="1"/>
    <col min="44" max="53" width="15.109375" style="183" customWidth="1"/>
    <col min="54" max="16384" width="11.5546875" style="183"/>
  </cols>
  <sheetData>
    <row r="1" spans="1:53" ht="18" x14ac:dyDescent="0.35">
      <c r="A1" s="414" t="s">
        <v>0</v>
      </c>
      <c r="B1" s="414"/>
      <c r="C1" s="414"/>
      <c r="D1" s="414"/>
      <c r="E1" s="414"/>
      <c r="F1" s="414"/>
      <c r="G1" s="414"/>
      <c r="H1" s="414"/>
      <c r="I1" s="414"/>
      <c r="J1" s="414"/>
      <c r="K1" s="414"/>
      <c r="L1" s="414"/>
      <c r="M1" s="414"/>
      <c r="N1" s="414"/>
      <c r="O1" s="414"/>
      <c r="P1" s="414"/>
      <c r="Q1" s="414"/>
      <c r="R1" s="414"/>
      <c r="S1" s="414"/>
      <c r="T1" s="414"/>
      <c r="U1" s="414"/>
      <c r="V1" s="414"/>
      <c r="W1" s="414"/>
      <c r="X1" s="414"/>
      <c r="Y1" s="414"/>
      <c r="Z1" s="414"/>
      <c r="AA1" s="414"/>
      <c r="AB1" s="414"/>
      <c r="AC1" s="414"/>
      <c r="AD1" s="414"/>
      <c r="AE1" s="414"/>
      <c r="AF1" s="414"/>
      <c r="AG1" s="195"/>
    </row>
    <row r="2" spans="1:53" ht="18" x14ac:dyDescent="0.35">
      <c r="A2" s="195"/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5"/>
      <c r="Y2" s="195"/>
      <c r="Z2" s="195"/>
      <c r="AA2" s="195"/>
      <c r="AB2" s="195"/>
      <c r="AC2" s="195"/>
      <c r="AD2" s="195"/>
      <c r="AE2" s="195"/>
      <c r="AF2" s="9"/>
      <c r="AG2" s="9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0"/>
    </row>
    <row r="3" spans="1:53" ht="16.2" thickBot="1" x14ac:dyDescent="0.35">
      <c r="D3" s="413" t="s">
        <v>98</v>
      </c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  <c r="R3" s="413"/>
      <c r="S3" s="413"/>
      <c r="T3" s="413"/>
      <c r="U3" s="413"/>
      <c r="V3" s="413"/>
      <c r="W3" s="413"/>
      <c r="X3" s="413"/>
      <c r="Y3" s="413"/>
      <c r="Z3" s="413"/>
      <c r="AA3" s="413"/>
      <c r="AB3" s="413"/>
      <c r="AC3" s="413"/>
      <c r="AD3" s="413"/>
      <c r="AE3" s="413"/>
      <c r="AF3" s="413"/>
      <c r="AG3" s="196"/>
      <c r="AH3" s="449" t="s">
        <v>12</v>
      </c>
      <c r="AI3" s="449"/>
      <c r="AJ3" s="449"/>
      <c r="AK3" s="449"/>
      <c r="AL3" s="449"/>
      <c r="AM3" s="449"/>
      <c r="AN3" s="449"/>
      <c r="AO3" s="449"/>
      <c r="AP3" s="449"/>
      <c r="AQ3" s="449"/>
      <c r="AR3" s="417" t="s">
        <v>13</v>
      </c>
      <c r="AS3" s="417"/>
      <c r="AT3" s="417"/>
      <c r="AU3" s="417"/>
      <c r="AV3" s="417"/>
      <c r="AW3" s="417"/>
      <c r="AX3" s="417"/>
      <c r="AY3" s="417"/>
      <c r="AZ3" s="417"/>
      <c r="BA3" s="417"/>
    </row>
    <row r="4" spans="1:53" ht="16.2" thickBot="1" x14ac:dyDescent="0.35">
      <c r="A4" s="450" t="s">
        <v>1</v>
      </c>
      <c r="B4" s="452" t="s">
        <v>92</v>
      </c>
      <c r="C4" s="453"/>
      <c r="D4" s="420" t="s">
        <v>2</v>
      </c>
      <c r="E4" s="420"/>
      <c r="F4" s="421"/>
      <c r="G4" s="422" t="s">
        <v>3</v>
      </c>
      <c r="H4" s="423"/>
      <c r="I4" s="424"/>
      <c r="J4" s="425" t="s">
        <v>4</v>
      </c>
      <c r="K4" s="426"/>
      <c r="L4" s="427"/>
      <c r="M4" s="446" t="s">
        <v>5</v>
      </c>
      <c r="N4" s="447"/>
      <c r="O4" s="448"/>
      <c r="P4" s="428" t="s">
        <v>6</v>
      </c>
      <c r="Q4" s="429"/>
      <c r="R4" s="430"/>
      <c r="S4" s="431" t="s">
        <v>7</v>
      </c>
      <c r="T4" s="432"/>
      <c r="U4" s="433"/>
      <c r="V4" s="434" t="s">
        <v>8</v>
      </c>
      <c r="W4" s="435"/>
      <c r="X4" s="436"/>
      <c r="Y4" s="437" t="s">
        <v>9</v>
      </c>
      <c r="Z4" s="438"/>
      <c r="AA4" s="439"/>
      <c r="AB4" s="440" t="s">
        <v>10</v>
      </c>
      <c r="AC4" s="441"/>
      <c r="AD4" s="442"/>
      <c r="AE4" s="443" t="s">
        <v>11</v>
      </c>
      <c r="AF4" s="444"/>
      <c r="AG4" s="444"/>
      <c r="AH4" s="206" t="s">
        <v>2</v>
      </c>
      <c r="AI4" s="206" t="s">
        <v>3</v>
      </c>
      <c r="AJ4" s="206" t="s">
        <v>4</v>
      </c>
      <c r="AK4" s="206" t="s">
        <v>5</v>
      </c>
      <c r="AL4" s="206" t="s">
        <v>6</v>
      </c>
      <c r="AM4" s="206" t="s">
        <v>7</v>
      </c>
      <c r="AN4" s="206" t="s">
        <v>8</v>
      </c>
      <c r="AO4" s="206" t="s">
        <v>9</v>
      </c>
      <c r="AP4" s="206" t="s">
        <v>10</v>
      </c>
      <c r="AQ4" s="206" t="s">
        <v>11</v>
      </c>
      <c r="AR4" s="186" t="s">
        <v>2</v>
      </c>
      <c r="AS4" s="186" t="s">
        <v>3</v>
      </c>
      <c r="AT4" s="186" t="s">
        <v>4</v>
      </c>
      <c r="AU4" s="186" t="s">
        <v>5</v>
      </c>
      <c r="AV4" s="186" t="s">
        <v>6</v>
      </c>
      <c r="AW4" s="186" t="s">
        <v>7</v>
      </c>
      <c r="AX4" s="186" t="s">
        <v>8</v>
      </c>
      <c r="AY4" s="186" t="s">
        <v>9</v>
      </c>
      <c r="AZ4" s="186" t="s">
        <v>10</v>
      </c>
      <c r="BA4" s="197" t="s">
        <v>11</v>
      </c>
    </row>
    <row r="5" spans="1:53" ht="15.75" customHeight="1" thickBot="1" x14ac:dyDescent="0.35">
      <c r="A5" s="451"/>
      <c r="B5" s="135" t="s">
        <v>93</v>
      </c>
      <c r="C5" s="136" t="s">
        <v>94</v>
      </c>
      <c r="D5" s="187" t="s">
        <v>95</v>
      </c>
      <c r="E5" s="188" t="s">
        <v>96</v>
      </c>
      <c r="F5" s="189" t="s">
        <v>97</v>
      </c>
      <c r="G5" s="190" t="s">
        <v>95</v>
      </c>
      <c r="H5" s="188" t="s">
        <v>96</v>
      </c>
      <c r="I5" s="191" t="s">
        <v>97</v>
      </c>
      <c r="J5" s="137" t="s">
        <v>95</v>
      </c>
      <c r="K5" s="138" t="s">
        <v>96</v>
      </c>
      <c r="L5" s="139" t="s">
        <v>97</v>
      </c>
      <c r="M5" s="187" t="s">
        <v>95</v>
      </c>
      <c r="N5" s="188" t="s">
        <v>96</v>
      </c>
      <c r="O5" s="189" t="s">
        <v>97</v>
      </c>
      <c r="P5" s="190" t="s">
        <v>95</v>
      </c>
      <c r="Q5" s="188" t="s">
        <v>96</v>
      </c>
      <c r="R5" s="189" t="s">
        <v>97</v>
      </c>
      <c r="S5" s="190" t="s">
        <v>95</v>
      </c>
      <c r="T5" s="188" t="s">
        <v>96</v>
      </c>
      <c r="U5" s="189" t="s">
        <v>97</v>
      </c>
      <c r="V5" s="190" t="s">
        <v>95</v>
      </c>
      <c r="W5" s="188" t="s">
        <v>96</v>
      </c>
      <c r="X5" s="189" t="s">
        <v>97</v>
      </c>
      <c r="Y5" s="190" t="s">
        <v>95</v>
      </c>
      <c r="Z5" s="188" t="s">
        <v>96</v>
      </c>
      <c r="AA5" s="189" t="s">
        <v>97</v>
      </c>
      <c r="AB5" s="190" t="s">
        <v>95</v>
      </c>
      <c r="AC5" s="188" t="s">
        <v>96</v>
      </c>
      <c r="AD5" s="189" t="s">
        <v>97</v>
      </c>
      <c r="AE5" s="190" t="s">
        <v>95</v>
      </c>
      <c r="AF5" s="188" t="s">
        <v>96</v>
      </c>
      <c r="AG5" s="191" t="s">
        <v>97</v>
      </c>
      <c r="AH5" s="229">
        <v>0.9</v>
      </c>
      <c r="AI5" s="229">
        <v>0.9</v>
      </c>
      <c r="AJ5" s="229">
        <v>0.9</v>
      </c>
      <c r="AK5" s="229">
        <v>0.9</v>
      </c>
      <c r="AL5" s="229">
        <v>0.9</v>
      </c>
      <c r="AM5" s="229">
        <v>0.9</v>
      </c>
      <c r="AN5" s="229">
        <v>0.9</v>
      </c>
      <c r="AO5" s="229">
        <v>0.9</v>
      </c>
      <c r="AP5" s="229">
        <v>0.9</v>
      </c>
      <c r="AQ5" s="230">
        <v>0.9</v>
      </c>
      <c r="AR5" s="12"/>
      <c r="AS5" s="12"/>
      <c r="AT5" s="12"/>
      <c r="AU5" s="12"/>
      <c r="AV5" s="12"/>
      <c r="AW5" s="12"/>
      <c r="AX5" s="12"/>
      <c r="AY5" s="12"/>
      <c r="AZ5" s="12"/>
      <c r="BA5" s="13"/>
    </row>
    <row r="6" spans="1:53" x14ac:dyDescent="0.3">
      <c r="A6" s="140" t="s">
        <v>87</v>
      </c>
      <c r="B6" s="141">
        <v>43983</v>
      </c>
      <c r="C6" s="232">
        <v>44012</v>
      </c>
      <c r="D6" s="142">
        <v>0</v>
      </c>
      <c r="E6" s="240">
        <v>7660</v>
      </c>
      <c r="F6" s="241">
        <v>0</v>
      </c>
      <c r="G6" s="235">
        <v>0</v>
      </c>
      <c r="H6" s="142">
        <v>17960</v>
      </c>
      <c r="I6" s="142">
        <v>0</v>
      </c>
      <c r="J6" s="142">
        <v>0</v>
      </c>
      <c r="K6" s="142">
        <v>12900</v>
      </c>
      <c r="L6" s="142">
        <v>0</v>
      </c>
      <c r="M6" s="142">
        <v>0</v>
      </c>
      <c r="N6" s="142">
        <v>13728</v>
      </c>
      <c r="O6" s="142">
        <v>0</v>
      </c>
      <c r="P6" s="142">
        <v>0</v>
      </c>
      <c r="Q6" s="142">
        <v>9127</v>
      </c>
      <c r="R6" s="142">
        <v>0</v>
      </c>
      <c r="S6" s="142">
        <v>0</v>
      </c>
      <c r="T6" s="142">
        <v>3820</v>
      </c>
      <c r="U6" s="142">
        <v>0</v>
      </c>
      <c r="V6" s="142">
        <v>0</v>
      </c>
      <c r="W6" s="142">
        <v>14610</v>
      </c>
      <c r="X6" s="142">
        <v>0</v>
      </c>
      <c r="Y6" s="142">
        <v>0</v>
      </c>
      <c r="Z6" s="142">
        <v>5630</v>
      </c>
      <c r="AA6" s="142">
        <v>0</v>
      </c>
      <c r="AB6" s="142">
        <v>0</v>
      </c>
      <c r="AC6" s="142">
        <v>5320</v>
      </c>
      <c r="AD6" s="142">
        <v>0</v>
      </c>
      <c r="AE6" s="142">
        <v>0</v>
      </c>
      <c r="AF6" s="142">
        <v>15260</v>
      </c>
      <c r="AG6" s="222">
        <v>0</v>
      </c>
      <c r="AH6" s="231">
        <f>+Janvier!AJ6</f>
        <v>8562.51</v>
      </c>
      <c r="AI6" s="231">
        <f>+Janvier!AK6</f>
        <v>29828.509615384621</v>
      </c>
      <c r="AJ6" s="231">
        <f>+Janvier!AL6</f>
        <v>19865.787403846156</v>
      </c>
      <c r="AK6" s="231">
        <f>+Janvier!AM6</f>
        <v>19865.787403846156</v>
      </c>
      <c r="AL6" s="231">
        <f>+Janvier!AN6</f>
        <v>12527.97403846154</v>
      </c>
      <c r="AM6" s="231">
        <f>+Janvier!AO6</f>
        <v>7457.1274038461552</v>
      </c>
      <c r="AN6" s="231">
        <f>+Janvier!AP6</f>
        <v>14914.25480769231</v>
      </c>
      <c r="AO6" s="231">
        <f>+Janvier!AQ6</f>
        <v>7457.1274038461552</v>
      </c>
      <c r="AP6" s="231">
        <f>+Janvier!AR6</f>
        <v>7457.1274038461552</v>
      </c>
      <c r="AQ6" s="231">
        <f>+Janvier!AS6</f>
        <v>13292.847692307696</v>
      </c>
      <c r="AR6" s="16">
        <f>ROUND(E6/(AH6/15),0)</f>
        <v>13</v>
      </c>
      <c r="AS6" s="16">
        <f>ROUND(H6/(AI6/15),0)</f>
        <v>9</v>
      </c>
      <c r="AT6" s="16">
        <f>ROUND(K6/(AJ6/15),0)</f>
        <v>10</v>
      </c>
      <c r="AU6" s="16">
        <f>ROUND(N6/(AK6/15),0)</f>
        <v>10</v>
      </c>
      <c r="AV6" s="16">
        <f>ROUND(Q6/(AL6/15),0)</f>
        <v>11</v>
      </c>
      <c r="AW6" s="16">
        <f>ROUND(T6/(AM6/15),0)</f>
        <v>8</v>
      </c>
      <c r="AX6" s="16">
        <f>ROUND(W6/(AN6/15),0)</f>
        <v>15</v>
      </c>
      <c r="AY6" s="16">
        <f>ROUND(Z6/(AO6/15),0)</f>
        <v>11</v>
      </c>
      <c r="AZ6" s="16">
        <f>ROUND(AC6/(AP6/15),0)</f>
        <v>11</v>
      </c>
      <c r="BA6" s="17">
        <f t="shared" ref="BA6" si="0">ROUND(AF6/(AQ6/15),0)</f>
        <v>17</v>
      </c>
    </row>
    <row r="7" spans="1:53" x14ac:dyDescent="0.3">
      <c r="A7" s="184" t="s">
        <v>100</v>
      </c>
      <c r="B7" s="94">
        <v>43983</v>
      </c>
      <c r="C7" s="233">
        <v>44012</v>
      </c>
      <c r="D7" s="107">
        <v>180</v>
      </c>
      <c r="E7" s="106">
        <v>300</v>
      </c>
      <c r="F7" s="117">
        <v>0</v>
      </c>
      <c r="G7" s="236">
        <v>500</v>
      </c>
      <c r="H7" s="96">
        <v>740</v>
      </c>
      <c r="I7" s="105">
        <v>0</v>
      </c>
      <c r="J7" s="95">
        <v>500</v>
      </c>
      <c r="K7" s="96">
        <v>530</v>
      </c>
      <c r="L7" s="97">
        <v>0</v>
      </c>
      <c r="M7" s="95">
        <v>232</v>
      </c>
      <c r="N7" s="96">
        <v>328</v>
      </c>
      <c r="O7" s="97">
        <v>0</v>
      </c>
      <c r="P7" s="95">
        <v>300</v>
      </c>
      <c r="Q7" s="96">
        <v>351</v>
      </c>
      <c r="R7" s="97">
        <v>0</v>
      </c>
      <c r="S7" s="95">
        <v>150</v>
      </c>
      <c r="T7" s="96">
        <v>210</v>
      </c>
      <c r="U7" s="97">
        <v>0</v>
      </c>
      <c r="V7" s="95">
        <v>300</v>
      </c>
      <c r="W7" s="96">
        <v>520</v>
      </c>
      <c r="X7" s="97">
        <v>0</v>
      </c>
      <c r="Y7" s="95">
        <v>200</v>
      </c>
      <c r="Z7" s="96">
        <v>270</v>
      </c>
      <c r="AA7" s="97">
        <v>0</v>
      </c>
      <c r="AB7" s="95">
        <v>200</v>
      </c>
      <c r="AC7" s="96">
        <v>270</v>
      </c>
      <c r="AD7" s="97">
        <v>0</v>
      </c>
      <c r="AE7" s="95">
        <v>100</v>
      </c>
      <c r="AF7" s="96">
        <v>410</v>
      </c>
      <c r="AG7" s="105">
        <v>0</v>
      </c>
      <c r="AH7" s="231">
        <f>+Janvier!AJ7</f>
        <v>205.71428571428572</v>
      </c>
      <c r="AI7" s="231">
        <f>+Janvier!AK7</f>
        <v>640.00000000000011</v>
      </c>
      <c r="AJ7" s="231">
        <f>+Janvier!AL7</f>
        <v>480</v>
      </c>
      <c r="AK7" s="231">
        <f>+Janvier!AM7</f>
        <v>480</v>
      </c>
      <c r="AL7" s="231">
        <f>+Janvier!AN7</f>
        <v>290.90909090909099</v>
      </c>
      <c r="AM7" s="231">
        <f>+Janvier!AO7</f>
        <v>180.00000000000003</v>
      </c>
      <c r="AN7" s="231">
        <f>+Janvier!AP7</f>
        <v>360.00000000000006</v>
      </c>
      <c r="AO7" s="231">
        <f>+Janvier!AQ7</f>
        <v>180.00000000000003</v>
      </c>
      <c r="AP7" s="231">
        <f>+Janvier!AR7</f>
        <v>180.00000000000003</v>
      </c>
      <c r="AQ7" s="231">
        <f>+Janvier!AS7</f>
        <v>320.00000000000006</v>
      </c>
      <c r="AR7" s="19">
        <f t="shared" ref="AR7:AR13" si="1">ROUND(E7/(AH7/5),0)</f>
        <v>7</v>
      </c>
      <c r="AS7" s="19">
        <f>ROUND(H7/(AI7/5),0)</f>
        <v>6</v>
      </c>
      <c r="AT7" s="19">
        <f>ROUND(K7/(AJ7/5),0)</f>
        <v>6</v>
      </c>
      <c r="AU7" s="19">
        <f>ROUND(N7/(AK7/5),0)</f>
        <v>3</v>
      </c>
      <c r="AV7" s="19">
        <f>ROUND(Q7/(AL7/5),0)</f>
        <v>6</v>
      </c>
      <c r="AW7" s="19">
        <f>ROUND(T7/(AM7/5),0)</f>
        <v>6</v>
      </c>
      <c r="AX7" s="19">
        <f>ROUND(W7/(AN7/5),0)</f>
        <v>7</v>
      </c>
      <c r="AY7" s="19">
        <f>ROUND(Z7/(AO7/5),0)</f>
        <v>8</v>
      </c>
      <c r="AZ7" s="19">
        <f>ROUND(AC7/(AP7/5),0)</f>
        <v>8</v>
      </c>
      <c r="BA7" s="20">
        <f t="shared" ref="BA7:BA13" si="2">ROUND(AF7/(AQ7/5),0)</f>
        <v>6</v>
      </c>
    </row>
    <row r="8" spans="1:53" x14ac:dyDescent="0.3">
      <c r="A8" s="184" t="s">
        <v>101</v>
      </c>
      <c r="B8" s="94">
        <v>43983</v>
      </c>
      <c r="C8" s="233">
        <v>44012</v>
      </c>
      <c r="D8" s="107">
        <v>1000</v>
      </c>
      <c r="E8" s="96">
        <v>1000</v>
      </c>
      <c r="F8" s="97">
        <v>5</v>
      </c>
      <c r="G8" s="237">
        <v>2000</v>
      </c>
      <c r="H8" s="96">
        <v>2560</v>
      </c>
      <c r="I8" s="105">
        <v>0</v>
      </c>
      <c r="J8" s="95">
        <v>1150</v>
      </c>
      <c r="K8" s="96">
        <v>1910</v>
      </c>
      <c r="L8" s="97">
        <v>0</v>
      </c>
      <c r="M8" s="95">
        <v>1216</v>
      </c>
      <c r="N8" s="96">
        <v>1908</v>
      </c>
      <c r="O8" s="97">
        <v>0</v>
      </c>
      <c r="P8" s="95">
        <v>816</v>
      </c>
      <c r="Q8" s="96">
        <v>1223</v>
      </c>
      <c r="R8" s="97">
        <v>0</v>
      </c>
      <c r="S8" s="95">
        <v>430</v>
      </c>
      <c r="T8" s="96">
        <v>640</v>
      </c>
      <c r="U8" s="97">
        <v>0</v>
      </c>
      <c r="V8" s="95">
        <v>790</v>
      </c>
      <c r="W8" s="96">
        <v>1530</v>
      </c>
      <c r="X8" s="97">
        <v>0</v>
      </c>
      <c r="Y8" s="95">
        <v>400</v>
      </c>
      <c r="Z8" s="96">
        <v>760</v>
      </c>
      <c r="AA8" s="97">
        <v>0</v>
      </c>
      <c r="AB8" s="95">
        <v>430</v>
      </c>
      <c r="AC8" s="96">
        <v>760</v>
      </c>
      <c r="AD8" s="97">
        <v>0</v>
      </c>
      <c r="AE8" s="95">
        <v>1000</v>
      </c>
      <c r="AF8" s="96">
        <v>1620</v>
      </c>
      <c r="AG8" s="105">
        <v>0</v>
      </c>
      <c r="AH8" s="231">
        <f>+Janvier!AJ8</f>
        <v>676.23626373626382</v>
      </c>
      <c r="AI8" s="231">
        <f>+Janvier!AK8</f>
        <v>2103.8461538461538</v>
      </c>
      <c r="AJ8" s="231">
        <f>+Janvier!AL8</f>
        <v>1577.8846153846155</v>
      </c>
      <c r="AK8" s="231">
        <f>+Janvier!AM8</f>
        <v>1577.8846153846155</v>
      </c>
      <c r="AL8" s="231">
        <f>+Janvier!AN8</f>
        <v>956.29370629370646</v>
      </c>
      <c r="AM8" s="231">
        <f>+Janvier!AO8</f>
        <v>591.70673076923083</v>
      </c>
      <c r="AN8" s="231">
        <f>+Janvier!AP8</f>
        <v>1183.4134615384617</v>
      </c>
      <c r="AO8" s="231">
        <f>+Janvier!AQ8</f>
        <v>591.70673076923083</v>
      </c>
      <c r="AP8" s="231">
        <f>+Janvier!AR8</f>
        <v>591.70673076923083</v>
      </c>
      <c r="AQ8" s="231">
        <f>+Janvier!AS8</f>
        <v>1051.9230769230769</v>
      </c>
      <c r="AR8" s="19">
        <f t="shared" si="1"/>
        <v>7</v>
      </c>
      <c r="AS8" s="19">
        <f t="shared" ref="AS8:AS13" si="3">ROUND(H8/(AI8/5),0)</f>
        <v>6</v>
      </c>
      <c r="AT8" s="19">
        <f t="shared" ref="AT8:AT13" si="4">ROUND(K8/(AJ8/5),0)</f>
        <v>6</v>
      </c>
      <c r="AU8" s="19">
        <f t="shared" ref="AU8:AU13" si="5">ROUND(N8/(AK8/5),0)</f>
        <v>6</v>
      </c>
      <c r="AV8" s="19">
        <f t="shared" ref="AV8:AV13" si="6">ROUND(Q8/(AL8/5),0)</f>
        <v>6</v>
      </c>
      <c r="AW8" s="19">
        <f t="shared" ref="AW8:AW13" si="7">ROUND(T8/(AM8/5),0)</f>
        <v>5</v>
      </c>
      <c r="AX8" s="19">
        <f t="shared" ref="AX8:AX13" si="8">ROUND(W8/(AN8/5),0)</f>
        <v>6</v>
      </c>
      <c r="AY8" s="19">
        <f t="shared" ref="AY8:AY13" si="9">ROUND(Z8/(AO8/5),0)</f>
        <v>6</v>
      </c>
      <c r="AZ8" s="19">
        <f t="shared" ref="AZ8:AZ13" si="10">ROUND(AC8/(AP8/5),0)</f>
        <v>6</v>
      </c>
      <c r="BA8" s="20">
        <f t="shared" si="2"/>
        <v>8</v>
      </c>
    </row>
    <row r="9" spans="1:53" x14ac:dyDescent="0.3">
      <c r="A9" s="184" t="s">
        <v>102</v>
      </c>
      <c r="B9" s="94">
        <v>43983</v>
      </c>
      <c r="C9" s="233">
        <v>44012</v>
      </c>
      <c r="D9" s="107">
        <v>220</v>
      </c>
      <c r="E9" s="96">
        <v>700</v>
      </c>
      <c r="F9" s="97">
        <v>0</v>
      </c>
      <c r="G9" s="237">
        <v>1000</v>
      </c>
      <c r="H9" s="96">
        <v>1780</v>
      </c>
      <c r="I9" s="105">
        <v>0</v>
      </c>
      <c r="J9" s="95">
        <v>900</v>
      </c>
      <c r="K9" s="96">
        <v>1530</v>
      </c>
      <c r="L9" s="97">
        <v>0</v>
      </c>
      <c r="M9" s="95">
        <v>400</v>
      </c>
      <c r="N9" s="96">
        <v>1400</v>
      </c>
      <c r="O9" s="97">
        <v>0</v>
      </c>
      <c r="P9" s="95">
        <v>350</v>
      </c>
      <c r="Q9" s="96">
        <v>883</v>
      </c>
      <c r="R9" s="97">
        <v>0</v>
      </c>
      <c r="S9" s="95">
        <v>200</v>
      </c>
      <c r="T9" s="96">
        <v>640</v>
      </c>
      <c r="U9" s="97">
        <v>0</v>
      </c>
      <c r="V9" s="95">
        <v>300</v>
      </c>
      <c r="W9" s="96">
        <v>560</v>
      </c>
      <c r="X9" s="97">
        <v>0</v>
      </c>
      <c r="Y9" s="95">
        <v>300</v>
      </c>
      <c r="Z9" s="96">
        <v>590</v>
      </c>
      <c r="AA9" s="97">
        <v>0</v>
      </c>
      <c r="AB9" s="95">
        <v>300</v>
      </c>
      <c r="AC9" s="96">
        <v>560</v>
      </c>
      <c r="AD9" s="97">
        <v>0</v>
      </c>
      <c r="AE9" s="95">
        <v>0</v>
      </c>
      <c r="AF9" s="96">
        <v>1100</v>
      </c>
      <c r="AG9" s="105">
        <v>0</v>
      </c>
      <c r="AH9" s="231">
        <f>+Janvier!AJ9</f>
        <v>611.82692307692309</v>
      </c>
      <c r="AI9" s="231">
        <f>+Janvier!AK9</f>
        <v>1903.4615384615386</v>
      </c>
      <c r="AJ9" s="231">
        <f>+Janvier!AL9</f>
        <v>1427.5961538461543</v>
      </c>
      <c r="AK9" s="231">
        <f>+Janvier!AM9</f>
        <v>1427.5961538461543</v>
      </c>
      <c r="AL9" s="231">
        <f>+Janvier!AN9</f>
        <v>865.20979020979041</v>
      </c>
      <c r="AM9" s="231">
        <f>+Janvier!AO9</f>
        <v>535.34855769230762</v>
      </c>
      <c r="AN9" s="231">
        <f>+Janvier!AP9</f>
        <v>1070.6971153846152</v>
      </c>
      <c r="AO9" s="231">
        <f>+Janvier!AQ9</f>
        <v>535.34855769230762</v>
      </c>
      <c r="AP9" s="231">
        <f>+Janvier!AR9</f>
        <v>535.34855769230762</v>
      </c>
      <c r="AQ9" s="231">
        <f>+Janvier!AS9</f>
        <v>951.73076923076928</v>
      </c>
      <c r="AR9" s="19">
        <f t="shared" si="1"/>
        <v>6</v>
      </c>
      <c r="AS9" s="19">
        <f t="shared" si="3"/>
        <v>5</v>
      </c>
      <c r="AT9" s="19">
        <f t="shared" si="4"/>
        <v>5</v>
      </c>
      <c r="AU9" s="19">
        <f t="shared" si="5"/>
        <v>5</v>
      </c>
      <c r="AV9" s="19">
        <f t="shared" si="6"/>
        <v>5</v>
      </c>
      <c r="AW9" s="19">
        <f t="shared" si="7"/>
        <v>6</v>
      </c>
      <c r="AX9" s="19">
        <f t="shared" si="8"/>
        <v>3</v>
      </c>
      <c r="AY9" s="19">
        <f t="shared" si="9"/>
        <v>6</v>
      </c>
      <c r="AZ9" s="19">
        <f t="shared" si="10"/>
        <v>5</v>
      </c>
      <c r="BA9" s="20">
        <f t="shared" si="2"/>
        <v>6</v>
      </c>
    </row>
    <row r="10" spans="1:53" x14ac:dyDescent="0.3">
      <c r="A10" s="184" t="s">
        <v>34</v>
      </c>
      <c r="B10" s="94">
        <v>43983</v>
      </c>
      <c r="C10" s="233">
        <v>44012</v>
      </c>
      <c r="D10" s="107">
        <v>160</v>
      </c>
      <c r="E10" s="96">
        <v>300</v>
      </c>
      <c r="F10" s="97">
        <v>0</v>
      </c>
      <c r="G10" s="237">
        <v>100</v>
      </c>
      <c r="H10" s="96">
        <v>440</v>
      </c>
      <c r="I10" s="105">
        <v>0</v>
      </c>
      <c r="J10" s="95">
        <v>100</v>
      </c>
      <c r="K10" s="96">
        <v>300</v>
      </c>
      <c r="L10" s="97">
        <v>0</v>
      </c>
      <c r="M10" s="95">
        <v>200</v>
      </c>
      <c r="N10" s="96">
        <v>280</v>
      </c>
      <c r="O10" s="97">
        <v>0</v>
      </c>
      <c r="P10" s="95">
        <v>150</v>
      </c>
      <c r="Q10" s="96">
        <v>190</v>
      </c>
      <c r="R10" s="97">
        <v>0</v>
      </c>
      <c r="S10" s="95">
        <v>0</v>
      </c>
      <c r="T10" s="96">
        <v>200</v>
      </c>
      <c r="U10" s="97">
        <v>0</v>
      </c>
      <c r="V10" s="95">
        <v>0</v>
      </c>
      <c r="W10" s="96">
        <v>440</v>
      </c>
      <c r="X10" s="97">
        <v>0</v>
      </c>
      <c r="Y10" s="95">
        <v>100</v>
      </c>
      <c r="Z10" s="96">
        <v>180</v>
      </c>
      <c r="AA10" s="97">
        <v>0</v>
      </c>
      <c r="AB10" s="95">
        <v>100</v>
      </c>
      <c r="AC10" s="96">
        <v>180</v>
      </c>
      <c r="AD10" s="97">
        <v>0</v>
      </c>
      <c r="AE10" s="95">
        <v>100</v>
      </c>
      <c r="AF10" s="96">
        <v>290</v>
      </c>
      <c r="AG10" s="105">
        <v>0</v>
      </c>
      <c r="AH10" s="231">
        <f>+Janvier!AJ10</f>
        <v>104.46428571428572</v>
      </c>
      <c r="AI10" s="231">
        <f>+Janvier!AK10</f>
        <v>325</v>
      </c>
      <c r="AJ10" s="231">
        <f>+Janvier!AL10</f>
        <v>243.75</v>
      </c>
      <c r="AK10" s="231">
        <f>+Janvier!AM10</f>
        <v>243.75</v>
      </c>
      <c r="AL10" s="231">
        <f>+Janvier!AN10</f>
        <v>147.72727272727275</v>
      </c>
      <c r="AM10" s="231">
        <f>+Janvier!AO10</f>
        <v>91.40625</v>
      </c>
      <c r="AN10" s="231">
        <f>+Janvier!AP10</f>
        <v>182.8125</v>
      </c>
      <c r="AO10" s="231">
        <f>+Janvier!AQ10</f>
        <v>91.40625</v>
      </c>
      <c r="AP10" s="231">
        <f>+Janvier!AR10</f>
        <v>91.40625</v>
      </c>
      <c r="AQ10" s="231">
        <f>+Janvier!AS10</f>
        <v>162.5</v>
      </c>
      <c r="AR10" s="19">
        <f t="shared" si="1"/>
        <v>14</v>
      </c>
      <c r="AS10" s="19">
        <f t="shared" si="3"/>
        <v>7</v>
      </c>
      <c r="AT10" s="19">
        <f t="shared" si="4"/>
        <v>6</v>
      </c>
      <c r="AU10" s="19">
        <f t="shared" si="5"/>
        <v>6</v>
      </c>
      <c r="AV10" s="19">
        <f t="shared" si="6"/>
        <v>6</v>
      </c>
      <c r="AW10" s="19">
        <f t="shared" si="7"/>
        <v>11</v>
      </c>
      <c r="AX10" s="19">
        <f t="shared" si="8"/>
        <v>12</v>
      </c>
      <c r="AY10" s="19">
        <f t="shared" si="9"/>
        <v>10</v>
      </c>
      <c r="AZ10" s="19">
        <f t="shared" si="10"/>
        <v>10</v>
      </c>
      <c r="BA10" s="20">
        <f t="shared" si="2"/>
        <v>9</v>
      </c>
    </row>
    <row r="11" spans="1:53" x14ac:dyDescent="0.3">
      <c r="A11" s="184" t="s">
        <v>103</v>
      </c>
      <c r="B11" s="94">
        <v>43983</v>
      </c>
      <c r="C11" s="233">
        <v>44012</v>
      </c>
      <c r="D11" s="107">
        <v>140</v>
      </c>
      <c r="E11" s="96">
        <v>280</v>
      </c>
      <c r="F11" s="97">
        <v>0</v>
      </c>
      <c r="G11" s="237">
        <v>460</v>
      </c>
      <c r="H11" s="96">
        <v>780</v>
      </c>
      <c r="I11" s="105">
        <v>0</v>
      </c>
      <c r="J11" s="95">
        <v>360</v>
      </c>
      <c r="K11" s="96">
        <v>660</v>
      </c>
      <c r="L11" s="97">
        <v>0</v>
      </c>
      <c r="M11" s="95">
        <v>300</v>
      </c>
      <c r="N11" s="96">
        <v>588</v>
      </c>
      <c r="O11" s="97">
        <v>0</v>
      </c>
      <c r="P11" s="95">
        <v>200</v>
      </c>
      <c r="Q11" s="96">
        <v>369</v>
      </c>
      <c r="R11" s="97">
        <v>0</v>
      </c>
      <c r="S11" s="95">
        <v>150</v>
      </c>
      <c r="T11" s="96">
        <v>230</v>
      </c>
      <c r="U11" s="97">
        <v>0</v>
      </c>
      <c r="V11" s="95">
        <v>210</v>
      </c>
      <c r="W11" s="96">
        <v>470</v>
      </c>
      <c r="X11" s="97">
        <v>0</v>
      </c>
      <c r="Y11" s="95">
        <v>120</v>
      </c>
      <c r="Z11" s="96">
        <v>240</v>
      </c>
      <c r="AA11" s="97">
        <v>0</v>
      </c>
      <c r="AB11" s="95">
        <v>200</v>
      </c>
      <c r="AC11" s="96">
        <v>310</v>
      </c>
      <c r="AD11" s="97">
        <v>0</v>
      </c>
      <c r="AE11" s="95">
        <v>200</v>
      </c>
      <c r="AF11" s="96">
        <v>520</v>
      </c>
      <c r="AG11" s="105">
        <v>0</v>
      </c>
      <c r="AH11" s="231">
        <f>+Janvier!AJ11</f>
        <v>190.75549450549454</v>
      </c>
      <c r="AI11" s="231">
        <f>+Janvier!AK11</f>
        <v>593.46153846153857</v>
      </c>
      <c r="AJ11" s="231">
        <f>+Janvier!AL11</f>
        <v>445.09615384615392</v>
      </c>
      <c r="AK11" s="231">
        <f>+Janvier!AM11</f>
        <v>445.09615384615392</v>
      </c>
      <c r="AL11" s="231">
        <f>+Janvier!AN11</f>
        <v>269.7552447552448</v>
      </c>
      <c r="AM11" s="231">
        <f>+Janvier!AO11</f>
        <v>166.91105769230771</v>
      </c>
      <c r="AN11" s="231">
        <f>+Janvier!AP11</f>
        <v>333.82211538461542</v>
      </c>
      <c r="AO11" s="231">
        <f>+Janvier!AQ11</f>
        <v>166.91105769230771</v>
      </c>
      <c r="AP11" s="231">
        <f>+Janvier!AR11</f>
        <v>166.91105769230771</v>
      </c>
      <c r="AQ11" s="231">
        <f>+Janvier!AS11</f>
        <v>296.73076923076928</v>
      </c>
      <c r="AR11" s="19">
        <f t="shared" si="1"/>
        <v>7</v>
      </c>
      <c r="AS11" s="19">
        <f t="shared" si="3"/>
        <v>7</v>
      </c>
      <c r="AT11" s="19">
        <f t="shared" si="4"/>
        <v>7</v>
      </c>
      <c r="AU11" s="19">
        <f t="shared" si="5"/>
        <v>7</v>
      </c>
      <c r="AV11" s="19">
        <f t="shared" si="6"/>
        <v>7</v>
      </c>
      <c r="AW11" s="19">
        <f t="shared" si="7"/>
        <v>7</v>
      </c>
      <c r="AX11" s="19">
        <f t="shared" si="8"/>
        <v>7</v>
      </c>
      <c r="AY11" s="19">
        <f t="shared" si="9"/>
        <v>7</v>
      </c>
      <c r="AZ11" s="19">
        <f t="shared" si="10"/>
        <v>9</v>
      </c>
      <c r="BA11" s="20">
        <f t="shared" si="2"/>
        <v>9</v>
      </c>
    </row>
    <row r="12" spans="1:53" x14ac:dyDescent="0.3">
      <c r="A12" s="184" t="s">
        <v>104</v>
      </c>
      <c r="B12" s="94">
        <v>43983</v>
      </c>
      <c r="C12" s="233">
        <v>44012</v>
      </c>
      <c r="D12" s="107">
        <v>360</v>
      </c>
      <c r="E12" s="106">
        <v>480</v>
      </c>
      <c r="F12" s="117">
        <v>0</v>
      </c>
      <c r="G12" s="236">
        <v>820</v>
      </c>
      <c r="H12" s="96">
        <v>1120</v>
      </c>
      <c r="I12" s="105">
        <v>0</v>
      </c>
      <c r="J12" s="95">
        <v>600</v>
      </c>
      <c r="K12" s="96">
        <v>850</v>
      </c>
      <c r="L12" s="97">
        <v>0</v>
      </c>
      <c r="M12" s="95">
        <v>600</v>
      </c>
      <c r="N12" s="96">
        <v>800</v>
      </c>
      <c r="O12" s="97">
        <v>0</v>
      </c>
      <c r="P12" s="95">
        <v>300</v>
      </c>
      <c r="Q12" s="96">
        <v>551</v>
      </c>
      <c r="R12" s="97">
        <v>0</v>
      </c>
      <c r="S12" s="95">
        <v>200</v>
      </c>
      <c r="T12" s="96">
        <v>280</v>
      </c>
      <c r="U12" s="97">
        <v>0</v>
      </c>
      <c r="V12" s="95">
        <v>400</v>
      </c>
      <c r="W12" s="96">
        <v>660</v>
      </c>
      <c r="X12" s="97">
        <v>0</v>
      </c>
      <c r="Y12" s="95">
        <v>210</v>
      </c>
      <c r="Z12" s="96">
        <v>330</v>
      </c>
      <c r="AA12" s="97">
        <v>0</v>
      </c>
      <c r="AB12" s="95">
        <v>300</v>
      </c>
      <c r="AC12" s="96">
        <v>350</v>
      </c>
      <c r="AD12" s="97">
        <v>0</v>
      </c>
      <c r="AE12" s="95">
        <v>350</v>
      </c>
      <c r="AF12" s="96">
        <v>700</v>
      </c>
      <c r="AG12" s="105">
        <v>0</v>
      </c>
      <c r="AH12" s="231">
        <f>+Janvier!AJ12</f>
        <v>302.3901098901099</v>
      </c>
      <c r="AI12" s="231">
        <f>+Janvier!AK12</f>
        <v>940.76923076923083</v>
      </c>
      <c r="AJ12" s="231">
        <f>+Janvier!AL12</f>
        <v>705.57692307692321</v>
      </c>
      <c r="AK12" s="231">
        <f>+Janvier!AM12</f>
        <v>705.57692307692321</v>
      </c>
      <c r="AL12" s="231">
        <f>+Janvier!AN12</f>
        <v>427.62237762237766</v>
      </c>
      <c r="AM12" s="231">
        <f>+Janvier!AO12</f>
        <v>264.59134615384619</v>
      </c>
      <c r="AN12" s="231">
        <f>+Janvier!AP12</f>
        <v>529.18269230769238</v>
      </c>
      <c r="AO12" s="231">
        <f>+Janvier!AQ12</f>
        <v>264.59134615384619</v>
      </c>
      <c r="AP12" s="231">
        <f>+Janvier!AR12</f>
        <v>264.59134615384619</v>
      </c>
      <c r="AQ12" s="231">
        <f>+Janvier!AS12</f>
        <v>470.38461538461542</v>
      </c>
      <c r="AR12" s="19">
        <f t="shared" si="1"/>
        <v>8</v>
      </c>
      <c r="AS12" s="19">
        <f t="shared" si="3"/>
        <v>6</v>
      </c>
      <c r="AT12" s="19">
        <f t="shared" si="4"/>
        <v>6</v>
      </c>
      <c r="AU12" s="19">
        <f t="shared" si="5"/>
        <v>6</v>
      </c>
      <c r="AV12" s="19">
        <f t="shared" si="6"/>
        <v>6</v>
      </c>
      <c r="AW12" s="19">
        <f t="shared" si="7"/>
        <v>5</v>
      </c>
      <c r="AX12" s="19">
        <f t="shared" si="8"/>
        <v>6</v>
      </c>
      <c r="AY12" s="19">
        <f t="shared" si="9"/>
        <v>6</v>
      </c>
      <c r="AZ12" s="19">
        <f t="shared" si="10"/>
        <v>7</v>
      </c>
      <c r="BA12" s="20">
        <f t="shared" si="2"/>
        <v>7</v>
      </c>
    </row>
    <row r="13" spans="1:53" ht="15" thickBot="1" x14ac:dyDescent="0.35">
      <c r="A13" s="121" t="s">
        <v>105</v>
      </c>
      <c r="B13" s="143">
        <v>43983</v>
      </c>
      <c r="C13" s="234">
        <v>44012</v>
      </c>
      <c r="D13" s="249">
        <v>880</v>
      </c>
      <c r="E13" s="250">
        <v>1080</v>
      </c>
      <c r="F13" s="251">
        <v>0</v>
      </c>
      <c r="G13" s="238">
        <v>1000</v>
      </c>
      <c r="H13" s="109">
        <v>2440</v>
      </c>
      <c r="I13" s="112">
        <v>0</v>
      </c>
      <c r="J13" s="111">
        <v>800</v>
      </c>
      <c r="K13" s="109">
        <v>1760</v>
      </c>
      <c r="L13" s="110">
        <v>0</v>
      </c>
      <c r="M13" s="111">
        <v>944</v>
      </c>
      <c r="N13" s="109">
        <v>1760</v>
      </c>
      <c r="O13" s="110">
        <v>0</v>
      </c>
      <c r="P13" s="111">
        <v>450</v>
      </c>
      <c r="Q13" s="109">
        <v>1131</v>
      </c>
      <c r="R13" s="110">
        <v>0</v>
      </c>
      <c r="S13" s="111">
        <v>370</v>
      </c>
      <c r="T13" s="109">
        <v>590</v>
      </c>
      <c r="U13" s="110">
        <v>0</v>
      </c>
      <c r="V13" s="111">
        <v>750</v>
      </c>
      <c r="W13" s="109">
        <v>1400</v>
      </c>
      <c r="X13" s="110">
        <v>0</v>
      </c>
      <c r="Y13" s="111">
        <v>200</v>
      </c>
      <c r="Z13" s="109">
        <v>700</v>
      </c>
      <c r="AA13" s="110">
        <v>0</v>
      </c>
      <c r="AB13" s="111">
        <v>340</v>
      </c>
      <c r="AC13" s="109">
        <v>700</v>
      </c>
      <c r="AD13" s="110">
        <v>0</v>
      </c>
      <c r="AE13" s="111">
        <v>260</v>
      </c>
      <c r="AF13" s="109">
        <v>1700</v>
      </c>
      <c r="AG13" s="112">
        <v>0</v>
      </c>
      <c r="AH13" s="231">
        <f>+Janvier!AJ13</f>
        <v>749.42307692307691</v>
      </c>
      <c r="AI13" s="231">
        <f>+Janvier!AK13</f>
        <v>2331.5384615384619</v>
      </c>
      <c r="AJ13" s="231">
        <f>+Janvier!AL13</f>
        <v>1748.6538461538464</v>
      </c>
      <c r="AK13" s="231">
        <f>+Janvier!AM13</f>
        <v>1748.6538461538464</v>
      </c>
      <c r="AL13" s="231">
        <f>+Janvier!AN13</f>
        <v>1059.7902097902099</v>
      </c>
      <c r="AM13" s="231">
        <f>+Janvier!AO13</f>
        <v>655.74519230769226</v>
      </c>
      <c r="AN13" s="231">
        <f>+Janvier!AP13</f>
        <v>1311.4903846153845</v>
      </c>
      <c r="AO13" s="231">
        <f>+Janvier!AQ13</f>
        <v>655.74519230769226</v>
      </c>
      <c r="AP13" s="231">
        <f>+Janvier!AR13</f>
        <v>655.74519230769226</v>
      </c>
      <c r="AQ13" s="231">
        <f>+Janvier!AS13</f>
        <v>1165.7692307692309</v>
      </c>
      <c r="AR13" s="29">
        <f t="shared" si="1"/>
        <v>7</v>
      </c>
      <c r="AS13" s="29">
        <f t="shared" si="3"/>
        <v>5</v>
      </c>
      <c r="AT13" s="29">
        <f t="shared" si="4"/>
        <v>5</v>
      </c>
      <c r="AU13" s="29">
        <f t="shared" si="5"/>
        <v>5</v>
      </c>
      <c r="AV13" s="29">
        <f t="shared" si="6"/>
        <v>5</v>
      </c>
      <c r="AW13" s="29">
        <f t="shared" si="7"/>
        <v>4</v>
      </c>
      <c r="AX13" s="29">
        <f t="shared" si="8"/>
        <v>5</v>
      </c>
      <c r="AY13" s="29">
        <f t="shared" si="9"/>
        <v>5</v>
      </c>
      <c r="AZ13" s="29">
        <f t="shared" si="10"/>
        <v>5</v>
      </c>
      <c r="BA13" s="30">
        <f t="shared" si="2"/>
        <v>7</v>
      </c>
    </row>
    <row r="14" spans="1:53" x14ac:dyDescent="0.3">
      <c r="A14" s="140" t="s">
        <v>85</v>
      </c>
      <c r="B14" s="152">
        <v>43983</v>
      </c>
      <c r="C14" s="242">
        <v>44012</v>
      </c>
      <c r="D14" s="155">
        <v>0</v>
      </c>
      <c r="E14" s="154">
        <v>3940</v>
      </c>
      <c r="F14" s="165">
        <v>0</v>
      </c>
      <c r="G14" s="245">
        <v>0</v>
      </c>
      <c r="H14" s="167">
        <v>9700</v>
      </c>
      <c r="I14" s="168">
        <v>0</v>
      </c>
      <c r="J14" s="155">
        <v>0</v>
      </c>
      <c r="K14" s="154">
        <v>11000</v>
      </c>
      <c r="L14" s="153">
        <v>0</v>
      </c>
      <c r="M14" s="155">
        <v>0</v>
      </c>
      <c r="N14" s="154">
        <v>11084</v>
      </c>
      <c r="O14" s="153">
        <v>0</v>
      </c>
      <c r="P14" s="155">
        <v>0</v>
      </c>
      <c r="Q14" s="154">
        <v>6068</v>
      </c>
      <c r="R14" s="153">
        <v>0</v>
      </c>
      <c r="S14" s="155">
        <v>0</v>
      </c>
      <c r="T14" s="154">
        <v>4330</v>
      </c>
      <c r="U14" s="153">
        <v>0</v>
      </c>
      <c r="V14" s="155">
        <v>0</v>
      </c>
      <c r="W14" s="154">
        <v>24090</v>
      </c>
      <c r="X14" s="153">
        <v>0</v>
      </c>
      <c r="Y14" s="155">
        <v>0</v>
      </c>
      <c r="Z14" s="154">
        <v>4450</v>
      </c>
      <c r="AA14" s="153">
        <v>0</v>
      </c>
      <c r="AB14" s="155">
        <v>0</v>
      </c>
      <c r="AC14" s="154">
        <v>3550</v>
      </c>
      <c r="AD14" s="153">
        <v>0</v>
      </c>
      <c r="AE14" s="155">
        <v>0</v>
      </c>
      <c r="AF14" s="154">
        <v>6610</v>
      </c>
      <c r="AG14" s="223">
        <v>0</v>
      </c>
      <c r="AH14" s="231">
        <f>+Janvier!AJ14</f>
        <v>10845.32625</v>
      </c>
      <c r="AI14" s="231">
        <f>+Janvier!AK14</f>
        <v>37883.076923076922</v>
      </c>
      <c r="AJ14" s="231">
        <f>+Janvier!AL14</f>
        <v>25230.129230769231</v>
      </c>
      <c r="AK14" s="231">
        <f>+Janvier!AM14</f>
        <v>25230.129230769231</v>
      </c>
      <c r="AL14" s="231">
        <f>+Janvier!AN14</f>
        <v>15910.892307692309</v>
      </c>
      <c r="AM14" s="231">
        <f>+Janvier!AO14</f>
        <v>9470.7692307692305</v>
      </c>
      <c r="AN14" s="231">
        <f>+Janvier!AP14</f>
        <v>18941.538461538461</v>
      </c>
      <c r="AO14" s="231">
        <f>+Janvier!AQ14</f>
        <v>9470.7692307692305</v>
      </c>
      <c r="AP14" s="231">
        <f>+Janvier!AR14</f>
        <v>9470.7692307692305</v>
      </c>
      <c r="AQ14" s="231">
        <f>+Janvier!AS14</f>
        <v>16836.800192307695</v>
      </c>
      <c r="AR14" s="16">
        <f>ROUND(E14/(AH14/15),0)</f>
        <v>5</v>
      </c>
      <c r="AS14" s="16">
        <f t="shared" ref="AS14" si="11">ROUND(H14/(AI14/15),0)</f>
        <v>4</v>
      </c>
      <c r="AT14" s="16">
        <f t="shared" ref="AT14" si="12">ROUND(K14/(AJ14/15),0)</f>
        <v>7</v>
      </c>
      <c r="AU14" s="16">
        <f t="shared" ref="AU14" si="13">ROUND(N14/(AK14/15),0)</f>
        <v>7</v>
      </c>
      <c r="AV14" s="16">
        <f t="shared" ref="AV14" si="14">ROUND(Q14/(AL14/15),0)</f>
        <v>6</v>
      </c>
      <c r="AW14" s="16">
        <f t="shared" ref="AW14" si="15">ROUND(T14/(AM14/15),0)</f>
        <v>7</v>
      </c>
      <c r="AX14" s="16">
        <f t="shared" ref="AX14" si="16">ROUND(W14/(AN14/15),0)</f>
        <v>19</v>
      </c>
      <c r="AY14" s="16">
        <f t="shared" ref="AY14" si="17">ROUND(Z14/(AO14/15),0)</f>
        <v>7</v>
      </c>
      <c r="AZ14" s="16">
        <f t="shared" ref="AZ14" si="18">ROUND(AC14/(AP14/15),0)</f>
        <v>6</v>
      </c>
      <c r="BA14" s="17">
        <f t="shared" ref="BA14" si="19">ROUND(AF14/(AQ14/15),0)</f>
        <v>6</v>
      </c>
    </row>
    <row r="15" spans="1:53" x14ac:dyDescent="0.3">
      <c r="A15" s="184" t="s">
        <v>57</v>
      </c>
      <c r="B15" s="127">
        <v>43983</v>
      </c>
      <c r="C15" s="243">
        <v>44012</v>
      </c>
      <c r="D15" s="130">
        <v>540</v>
      </c>
      <c r="E15" s="129">
        <v>540</v>
      </c>
      <c r="F15" s="169">
        <v>0</v>
      </c>
      <c r="G15" s="246">
        <v>1580</v>
      </c>
      <c r="H15" s="171">
        <v>1580</v>
      </c>
      <c r="I15" s="172">
        <v>0</v>
      </c>
      <c r="J15" s="130">
        <v>1200</v>
      </c>
      <c r="K15" s="129">
        <v>1280</v>
      </c>
      <c r="L15" s="128">
        <v>0</v>
      </c>
      <c r="M15" s="130">
        <v>1200</v>
      </c>
      <c r="N15" s="129">
        <v>1200</v>
      </c>
      <c r="O15" s="128">
        <v>0</v>
      </c>
      <c r="P15" s="130">
        <v>719</v>
      </c>
      <c r="Q15" s="129">
        <v>719</v>
      </c>
      <c r="R15" s="128">
        <v>0</v>
      </c>
      <c r="S15" s="130">
        <v>400</v>
      </c>
      <c r="T15" s="129">
        <v>400</v>
      </c>
      <c r="U15" s="128">
        <v>0</v>
      </c>
      <c r="V15" s="130">
        <v>900</v>
      </c>
      <c r="W15" s="129">
        <v>900</v>
      </c>
      <c r="X15" s="128">
        <v>0</v>
      </c>
      <c r="Y15" s="130">
        <v>450</v>
      </c>
      <c r="Z15" s="129">
        <v>450</v>
      </c>
      <c r="AA15" s="128">
        <v>0</v>
      </c>
      <c r="AB15" s="130">
        <v>450</v>
      </c>
      <c r="AC15" s="129">
        <v>450</v>
      </c>
      <c r="AD15" s="128">
        <v>0</v>
      </c>
      <c r="AE15" s="130">
        <v>800</v>
      </c>
      <c r="AF15" s="129">
        <v>840</v>
      </c>
      <c r="AG15" s="224">
        <v>0</v>
      </c>
      <c r="AH15" s="231">
        <f>+Janvier!AJ15</f>
        <v>567.93956043956052</v>
      </c>
      <c r="AI15" s="231">
        <f>+Janvier!AK15</f>
        <v>1766.9230769230774</v>
      </c>
      <c r="AJ15" s="231">
        <f>+Janvier!AL15</f>
        <v>1325.1923076923076</v>
      </c>
      <c r="AK15" s="231">
        <f>+Janvier!AM15</f>
        <v>1325.1923076923076</v>
      </c>
      <c r="AL15" s="231">
        <f>+Janvier!AN15</f>
        <v>803.14685314685323</v>
      </c>
      <c r="AM15" s="231">
        <f>+Janvier!AO15</f>
        <v>496.94711538461542</v>
      </c>
      <c r="AN15" s="231">
        <f>+Janvier!AP15</f>
        <v>993.89423076923083</v>
      </c>
      <c r="AO15" s="231">
        <f>+Janvier!AQ15</f>
        <v>496.94711538461542</v>
      </c>
      <c r="AP15" s="231">
        <f>+Janvier!AR15</f>
        <v>496.94711538461542</v>
      </c>
      <c r="AQ15" s="231">
        <f>+Janvier!AS15</f>
        <v>883.46153846153868</v>
      </c>
      <c r="AR15" s="16">
        <f t="shared" ref="AR15:AR20" si="20">ROUND(E15/(AH15/5),0)</f>
        <v>5</v>
      </c>
      <c r="AS15" s="16">
        <f t="shared" ref="AS15:AS20" si="21">ROUND(H15/(AI15/5),0)</f>
        <v>4</v>
      </c>
      <c r="AT15" s="16">
        <f t="shared" ref="AT15:AT20" si="22">ROUND(K15/(AJ15/5),0)</f>
        <v>5</v>
      </c>
      <c r="AU15" s="16">
        <f t="shared" ref="AU15:AU20" si="23">ROUND(N15/(AK15/5),0)</f>
        <v>5</v>
      </c>
      <c r="AV15" s="16">
        <f t="shared" ref="AV15:AV20" si="24">ROUND(Q15/(AL15/5),0)</f>
        <v>4</v>
      </c>
      <c r="AW15" s="16">
        <f t="shared" ref="AW15:AW20" si="25">ROUND(T15/(AM15/5),0)</f>
        <v>4</v>
      </c>
      <c r="AX15" s="16">
        <f t="shared" ref="AX15:AX20" si="26">ROUND(W15/(AN15/5),0)</f>
        <v>5</v>
      </c>
      <c r="AY15" s="16">
        <f t="shared" ref="AY15:AY20" si="27">ROUND(Z15/(AO15/5),0)</f>
        <v>5</v>
      </c>
      <c r="AZ15" s="16">
        <f t="shared" ref="AZ15:AZ20" si="28">ROUND(AC15/(AP15/5),0)</f>
        <v>5</v>
      </c>
      <c r="BA15" s="17">
        <f t="shared" ref="BA15:BA20" si="29">ROUND(AF15/(AQ15/5),0)</f>
        <v>5</v>
      </c>
    </row>
    <row r="16" spans="1:53" x14ac:dyDescent="0.3">
      <c r="A16" s="184" t="s">
        <v>58</v>
      </c>
      <c r="B16" s="127">
        <v>43983</v>
      </c>
      <c r="C16" s="243">
        <v>44012</v>
      </c>
      <c r="D16" s="130">
        <v>1500</v>
      </c>
      <c r="E16" s="129">
        <v>1500</v>
      </c>
      <c r="F16" s="169">
        <v>0</v>
      </c>
      <c r="G16" s="246">
        <v>2780</v>
      </c>
      <c r="H16" s="171">
        <v>4500</v>
      </c>
      <c r="I16" s="172">
        <v>0</v>
      </c>
      <c r="J16" s="130">
        <v>3220</v>
      </c>
      <c r="K16" s="129">
        <v>3450</v>
      </c>
      <c r="L16" s="131">
        <v>0</v>
      </c>
      <c r="M16" s="130">
        <v>3016</v>
      </c>
      <c r="N16" s="129">
        <v>3452</v>
      </c>
      <c r="O16" s="128">
        <v>0</v>
      </c>
      <c r="P16" s="130">
        <v>1439</v>
      </c>
      <c r="Q16" s="129">
        <v>2149</v>
      </c>
      <c r="R16" s="128">
        <v>0</v>
      </c>
      <c r="S16" s="130">
        <v>600</v>
      </c>
      <c r="T16" s="129">
        <v>1200</v>
      </c>
      <c r="U16" s="128">
        <v>0</v>
      </c>
      <c r="V16" s="130">
        <v>1580</v>
      </c>
      <c r="W16" s="129">
        <v>2550</v>
      </c>
      <c r="X16" s="128">
        <v>0</v>
      </c>
      <c r="Y16" s="130">
        <v>870</v>
      </c>
      <c r="Z16" s="129">
        <v>1200</v>
      </c>
      <c r="AA16" s="128">
        <v>0</v>
      </c>
      <c r="AB16" s="130">
        <v>1090</v>
      </c>
      <c r="AC16" s="129">
        <v>1350</v>
      </c>
      <c r="AD16" s="128">
        <v>0</v>
      </c>
      <c r="AE16" s="130">
        <v>1770</v>
      </c>
      <c r="AF16" s="129">
        <v>2850</v>
      </c>
      <c r="AG16" s="224">
        <v>0</v>
      </c>
      <c r="AH16" s="231">
        <f>+Janvier!AJ16</f>
        <v>952.54120879120887</v>
      </c>
      <c r="AI16" s="231">
        <f>+Janvier!AK16</f>
        <v>2963.4615384615386</v>
      </c>
      <c r="AJ16" s="231">
        <f>+Janvier!AL16</f>
        <v>2222.5961538461538</v>
      </c>
      <c r="AK16" s="231">
        <f>+Janvier!AM16</f>
        <v>2222.5961538461538</v>
      </c>
      <c r="AL16" s="231">
        <f>+Janvier!AN16</f>
        <v>1347.0279720279721</v>
      </c>
      <c r="AM16" s="231">
        <f>+Janvier!AO16</f>
        <v>833.47355769230774</v>
      </c>
      <c r="AN16" s="231">
        <f>+Janvier!AP16</f>
        <v>1666.9471153846155</v>
      </c>
      <c r="AO16" s="231">
        <f>+Janvier!AQ16</f>
        <v>833.47355769230774</v>
      </c>
      <c r="AP16" s="231">
        <f>+Janvier!AR16</f>
        <v>833.47355769230774</v>
      </c>
      <c r="AQ16" s="231">
        <f>+Janvier!AS16</f>
        <v>1481.7307692307693</v>
      </c>
      <c r="AR16" s="16">
        <f t="shared" si="20"/>
        <v>8</v>
      </c>
      <c r="AS16" s="16">
        <f t="shared" si="21"/>
        <v>8</v>
      </c>
      <c r="AT16" s="16">
        <f t="shared" si="22"/>
        <v>8</v>
      </c>
      <c r="AU16" s="16">
        <f t="shared" si="23"/>
        <v>8</v>
      </c>
      <c r="AV16" s="16">
        <f t="shared" si="24"/>
        <v>8</v>
      </c>
      <c r="AW16" s="16">
        <f t="shared" si="25"/>
        <v>7</v>
      </c>
      <c r="AX16" s="16">
        <f t="shared" si="26"/>
        <v>8</v>
      </c>
      <c r="AY16" s="16">
        <f t="shared" si="27"/>
        <v>7</v>
      </c>
      <c r="AZ16" s="16">
        <f t="shared" si="28"/>
        <v>8</v>
      </c>
      <c r="BA16" s="17">
        <f t="shared" si="29"/>
        <v>10</v>
      </c>
    </row>
    <row r="17" spans="1:53" x14ac:dyDescent="0.3">
      <c r="A17" s="184" t="s">
        <v>59</v>
      </c>
      <c r="B17" s="127">
        <v>43983</v>
      </c>
      <c r="C17" s="243">
        <v>44012</v>
      </c>
      <c r="D17" s="130">
        <v>680</v>
      </c>
      <c r="E17" s="129">
        <v>800</v>
      </c>
      <c r="F17" s="169">
        <v>0</v>
      </c>
      <c r="G17" s="246">
        <v>1440</v>
      </c>
      <c r="H17" s="171">
        <v>2580</v>
      </c>
      <c r="I17" s="172">
        <v>0</v>
      </c>
      <c r="J17" s="130">
        <v>1310</v>
      </c>
      <c r="K17" s="129">
        <v>1610</v>
      </c>
      <c r="L17" s="128">
        <v>0</v>
      </c>
      <c r="M17" s="130">
        <v>1400</v>
      </c>
      <c r="N17" s="129">
        <v>1656</v>
      </c>
      <c r="O17" s="128">
        <v>0</v>
      </c>
      <c r="P17" s="130">
        <v>850</v>
      </c>
      <c r="Q17" s="129">
        <v>1115</v>
      </c>
      <c r="R17" s="128">
        <v>0</v>
      </c>
      <c r="S17" s="130">
        <v>520</v>
      </c>
      <c r="T17" s="129">
        <v>520</v>
      </c>
      <c r="U17" s="128">
        <v>0</v>
      </c>
      <c r="V17" s="130">
        <v>700</v>
      </c>
      <c r="W17" s="129">
        <v>1280</v>
      </c>
      <c r="X17" s="128">
        <v>0</v>
      </c>
      <c r="Y17" s="130">
        <v>440</v>
      </c>
      <c r="Z17" s="129">
        <v>630</v>
      </c>
      <c r="AA17" s="128">
        <v>0</v>
      </c>
      <c r="AB17" s="130">
        <v>430</v>
      </c>
      <c r="AC17" s="129">
        <v>560</v>
      </c>
      <c r="AD17" s="128">
        <v>0</v>
      </c>
      <c r="AE17" s="130">
        <v>920</v>
      </c>
      <c r="AF17" s="129">
        <v>1440</v>
      </c>
      <c r="AG17" s="224">
        <v>0</v>
      </c>
      <c r="AH17" s="231">
        <f>+Janvier!AJ17</f>
        <v>506.86813186813191</v>
      </c>
      <c r="AI17" s="231">
        <f>+Janvier!AK17</f>
        <v>1576.9230769230767</v>
      </c>
      <c r="AJ17" s="231">
        <f>+Janvier!AL17</f>
        <v>1182.6923076923076</v>
      </c>
      <c r="AK17" s="231">
        <f>+Janvier!AM17</f>
        <v>1182.6923076923076</v>
      </c>
      <c r="AL17" s="231">
        <f>+Janvier!AN17</f>
        <v>716.78321678321686</v>
      </c>
      <c r="AM17" s="231">
        <f>+Janvier!AO17</f>
        <v>443.50961538461542</v>
      </c>
      <c r="AN17" s="231">
        <f>+Janvier!AP17</f>
        <v>887.01923076923083</v>
      </c>
      <c r="AO17" s="231">
        <f>+Janvier!AQ17</f>
        <v>443.50961538461542</v>
      </c>
      <c r="AP17" s="231">
        <f>+Janvier!AR17</f>
        <v>443.50961538461542</v>
      </c>
      <c r="AQ17" s="231">
        <f>+Janvier!AS17</f>
        <v>788.46153846153834</v>
      </c>
      <c r="AR17" s="16">
        <f t="shared" si="20"/>
        <v>8</v>
      </c>
      <c r="AS17" s="16">
        <f t="shared" si="21"/>
        <v>8</v>
      </c>
      <c r="AT17" s="16">
        <f t="shared" si="22"/>
        <v>7</v>
      </c>
      <c r="AU17" s="16">
        <f t="shared" si="23"/>
        <v>7</v>
      </c>
      <c r="AV17" s="16">
        <f t="shared" si="24"/>
        <v>8</v>
      </c>
      <c r="AW17" s="16">
        <f t="shared" si="25"/>
        <v>6</v>
      </c>
      <c r="AX17" s="16">
        <f t="shared" si="26"/>
        <v>7</v>
      </c>
      <c r="AY17" s="16">
        <f t="shared" si="27"/>
        <v>7</v>
      </c>
      <c r="AZ17" s="16">
        <f t="shared" si="28"/>
        <v>6</v>
      </c>
      <c r="BA17" s="17">
        <f t="shared" si="29"/>
        <v>9</v>
      </c>
    </row>
    <row r="18" spans="1:53" x14ac:dyDescent="0.3">
      <c r="A18" s="184" t="s">
        <v>60</v>
      </c>
      <c r="B18" s="127">
        <v>43983</v>
      </c>
      <c r="C18" s="243">
        <v>44012</v>
      </c>
      <c r="D18" s="130">
        <v>780</v>
      </c>
      <c r="E18" s="129">
        <v>180</v>
      </c>
      <c r="F18" s="169">
        <v>0</v>
      </c>
      <c r="G18" s="246">
        <v>1600</v>
      </c>
      <c r="H18" s="171">
        <v>1440</v>
      </c>
      <c r="I18" s="172">
        <v>0</v>
      </c>
      <c r="J18" s="130">
        <v>1160</v>
      </c>
      <c r="K18" s="129">
        <v>750</v>
      </c>
      <c r="L18" s="131">
        <v>0</v>
      </c>
      <c r="M18" s="130">
        <v>1072</v>
      </c>
      <c r="N18" s="129">
        <v>864</v>
      </c>
      <c r="O18" s="131">
        <v>0</v>
      </c>
      <c r="P18" s="130">
        <v>828</v>
      </c>
      <c r="Q18" s="129">
        <v>770</v>
      </c>
      <c r="R18" s="128">
        <v>0</v>
      </c>
      <c r="S18" s="130">
        <v>360</v>
      </c>
      <c r="T18" s="129">
        <v>335</v>
      </c>
      <c r="U18" s="128">
        <v>0</v>
      </c>
      <c r="V18" s="130">
        <v>720</v>
      </c>
      <c r="W18" s="129">
        <v>1170</v>
      </c>
      <c r="X18" s="128">
        <v>0</v>
      </c>
      <c r="Y18" s="130">
        <v>440</v>
      </c>
      <c r="Z18" s="129">
        <v>490</v>
      </c>
      <c r="AA18" s="128">
        <v>0</v>
      </c>
      <c r="AB18" s="130">
        <v>440</v>
      </c>
      <c r="AC18" s="129">
        <v>550</v>
      </c>
      <c r="AD18" s="128">
        <v>0</v>
      </c>
      <c r="AE18" s="130">
        <v>910</v>
      </c>
      <c r="AF18" s="129">
        <v>860</v>
      </c>
      <c r="AG18" s="224">
        <v>0</v>
      </c>
      <c r="AH18" s="231">
        <f>+Janvier!AJ18</f>
        <v>785.76923076923083</v>
      </c>
      <c r="AI18" s="231">
        <f>+Janvier!AK18</f>
        <v>2444.6153846153852</v>
      </c>
      <c r="AJ18" s="231">
        <f>+Janvier!AL18</f>
        <v>1833.4615384615383</v>
      </c>
      <c r="AK18" s="231">
        <f>+Janvier!AM18</f>
        <v>1833.4615384615383</v>
      </c>
      <c r="AL18" s="231">
        <f>+Janvier!AN18</f>
        <v>1111.1888111888113</v>
      </c>
      <c r="AM18" s="231">
        <f>+Janvier!AO18</f>
        <v>687.54807692307713</v>
      </c>
      <c r="AN18" s="231">
        <f>+Janvier!AP18</f>
        <v>1375.0961538461543</v>
      </c>
      <c r="AO18" s="231">
        <f>+Janvier!AQ18</f>
        <v>687.54807692307713</v>
      </c>
      <c r="AP18" s="231">
        <f>+Janvier!AR18</f>
        <v>687.54807692307713</v>
      </c>
      <c r="AQ18" s="231">
        <f>+Janvier!AS18</f>
        <v>1222.3076923076926</v>
      </c>
      <c r="AR18" s="16">
        <f t="shared" si="20"/>
        <v>1</v>
      </c>
      <c r="AS18" s="16">
        <f t="shared" si="21"/>
        <v>3</v>
      </c>
      <c r="AT18" s="16">
        <f t="shared" si="22"/>
        <v>2</v>
      </c>
      <c r="AU18" s="16">
        <f t="shared" si="23"/>
        <v>2</v>
      </c>
      <c r="AV18" s="16">
        <f t="shared" si="24"/>
        <v>3</v>
      </c>
      <c r="AW18" s="16">
        <f t="shared" si="25"/>
        <v>2</v>
      </c>
      <c r="AX18" s="16">
        <f t="shared" si="26"/>
        <v>4</v>
      </c>
      <c r="AY18" s="16">
        <f t="shared" si="27"/>
        <v>4</v>
      </c>
      <c r="AZ18" s="16">
        <f t="shared" si="28"/>
        <v>4</v>
      </c>
      <c r="BA18" s="17">
        <f t="shared" si="29"/>
        <v>4</v>
      </c>
    </row>
    <row r="19" spans="1:53" x14ac:dyDescent="0.3">
      <c r="A19" s="184" t="s">
        <v>61</v>
      </c>
      <c r="B19" s="127">
        <v>43983</v>
      </c>
      <c r="C19" s="243">
        <v>44012</v>
      </c>
      <c r="D19" s="130">
        <v>280</v>
      </c>
      <c r="E19" s="129">
        <v>0</v>
      </c>
      <c r="F19" s="169">
        <v>0</v>
      </c>
      <c r="G19" s="247">
        <v>860</v>
      </c>
      <c r="H19" s="175">
        <v>80</v>
      </c>
      <c r="I19" s="176">
        <v>0</v>
      </c>
      <c r="J19" s="134">
        <v>650</v>
      </c>
      <c r="K19" s="133">
        <v>40</v>
      </c>
      <c r="L19" s="132">
        <v>0</v>
      </c>
      <c r="M19" s="134">
        <v>560</v>
      </c>
      <c r="N19" s="133">
        <v>88</v>
      </c>
      <c r="O19" s="132">
        <v>0</v>
      </c>
      <c r="P19" s="134">
        <v>780</v>
      </c>
      <c r="Q19" s="133">
        <v>911</v>
      </c>
      <c r="R19" s="132">
        <v>0</v>
      </c>
      <c r="S19" s="134">
        <v>130</v>
      </c>
      <c r="T19" s="133">
        <v>0</v>
      </c>
      <c r="U19" s="132">
        <v>0</v>
      </c>
      <c r="V19" s="134">
        <v>480</v>
      </c>
      <c r="W19" s="133">
        <v>640</v>
      </c>
      <c r="X19" s="132">
        <v>0</v>
      </c>
      <c r="Y19" s="134">
        <v>380</v>
      </c>
      <c r="Z19" s="133">
        <v>350</v>
      </c>
      <c r="AA19" s="132">
        <v>0</v>
      </c>
      <c r="AB19" s="134">
        <v>620</v>
      </c>
      <c r="AC19" s="133">
        <v>420</v>
      </c>
      <c r="AD19" s="132">
        <v>0</v>
      </c>
      <c r="AE19" s="134">
        <v>1030</v>
      </c>
      <c r="AF19" s="133">
        <v>1060</v>
      </c>
      <c r="AG19" s="225">
        <v>0</v>
      </c>
      <c r="AH19" s="231">
        <f>+Janvier!AJ19</f>
        <v>309.43681318681325</v>
      </c>
      <c r="AI19" s="231">
        <f>+Janvier!AK19</f>
        <v>962.69230769230785</v>
      </c>
      <c r="AJ19" s="231">
        <f>+Janvier!AL19</f>
        <v>722.01923076923083</v>
      </c>
      <c r="AK19" s="231">
        <f>+Janvier!AM19</f>
        <v>722.01923076923083</v>
      </c>
      <c r="AL19" s="231">
        <f>+Janvier!AN19</f>
        <v>437.5874125874127</v>
      </c>
      <c r="AM19" s="231">
        <f>+Janvier!AO19</f>
        <v>270.75721153846155</v>
      </c>
      <c r="AN19" s="231">
        <f>+Janvier!AP19</f>
        <v>541.51442307692309</v>
      </c>
      <c r="AO19" s="231">
        <f>+Janvier!AQ19</f>
        <v>270.75721153846155</v>
      </c>
      <c r="AP19" s="231">
        <f>+Janvier!AR19</f>
        <v>270.75721153846155</v>
      </c>
      <c r="AQ19" s="231">
        <f>+Janvier!AS19</f>
        <v>481.34615384615392</v>
      </c>
      <c r="AR19" s="16">
        <f t="shared" si="20"/>
        <v>0</v>
      </c>
      <c r="AS19" s="16">
        <f t="shared" si="21"/>
        <v>0</v>
      </c>
      <c r="AT19" s="16">
        <f t="shared" si="22"/>
        <v>0</v>
      </c>
      <c r="AU19" s="16">
        <f t="shared" si="23"/>
        <v>1</v>
      </c>
      <c r="AV19" s="16">
        <f t="shared" si="24"/>
        <v>10</v>
      </c>
      <c r="AW19" s="16">
        <f t="shared" si="25"/>
        <v>0</v>
      </c>
      <c r="AX19" s="16">
        <f t="shared" si="26"/>
        <v>6</v>
      </c>
      <c r="AY19" s="16">
        <f t="shared" si="27"/>
        <v>6</v>
      </c>
      <c r="AZ19" s="16">
        <f t="shared" si="28"/>
        <v>8</v>
      </c>
      <c r="BA19" s="17">
        <f t="shared" si="29"/>
        <v>11</v>
      </c>
    </row>
    <row r="20" spans="1:53" ht="15" thickBot="1" x14ac:dyDescent="0.35">
      <c r="A20" s="121" t="s">
        <v>62</v>
      </c>
      <c r="B20" s="156">
        <v>43983</v>
      </c>
      <c r="C20" s="244">
        <v>44012</v>
      </c>
      <c r="D20" s="159">
        <v>0</v>
      </c>
      <c r="E20" s="158">
        <v>20</v>
      </c>
      <c r="F20" s="177">
        <v>0</v>
      </c>
      <c r="G20" s="248">
        <v>0</v>
      </c>
      <c r="H20" s="179">
        <v>560</v>
      </c>
      <c r="I20" s="180">
        <v>0</v>
      </c>
      <c r="J20" s="159">
        <v>0</v>
      </c>
      <c r="K20" s="158">
        <v>400</v>
      </c>
      <c r="L20" s="157">
        <v>0</v>
      </c>
      <c r="M20" s="159">
        <v>0</v>
      </c>
      <c r="N20" s="158">
        <v>604</v>
      </c>
      <c r="O20" s="157">
        <v>0</v>
      </c>
      <c r="P20" s="159">
        <v>0</v>
      </c>
      <c r="Q20" s="158">
        <v>100</v>
      </c>
      <c r="R20" s="157">
        <v>0</v>
      </c>
      <c r="S20" s="159">
        <v>0</v>
      </c>
      <c r="T20" s="158">
        <v>20</v>
      </c>
      <c r="U20" s="157">
        <v>0</v>
      </c>
      <c r="V20" s="159">
        <v>0</v>
      </c>
      <c r="W20" s="158">
        <v>330</v>
      </c>
      <c r="X20" s="157">
        <v>0</v>
      </c>
      <c r="Y20" s="159">
        <v>0</v>
      </c>
      <c r="Z20" s="158">
        <v>100</v>
      </c>
      <c r="AA20" s="157">
        <v>0</v>
      </c>
      <c r="AB20" s="159">
        <v>0</v>
      </c>
      <c r="AC20" s="158">
        <v>50</v>
      </c>
      <c r="AD20" s="157">
        <v>0</v>
      </c>
      <c r="AE20" s="159">
        <v>0</v>
      </c>
      <c r="AF20" s="158">
        <v>300</v>
      </c>
      <c r="AG20" s="226">
        <v>0</v>
      </c>
      <c r="AH20" s="231">
        <f>+Janvier!AJ20</f>
        <v>485.2335164835165</v>
      </c>
      <c r="AI20" s="231">
        <f>+Janvier!AK20</f>
        <v>1509.6153846153845</v>
      </c>
      <c r="AJ20" s="231">
        <f>+Janvier!AL20</f>
        <v>1132.2115384615383</v>
      </c>
      <c r="AK20" s="231">
        <f>+Janvier!AM20</f>
        <v>1132.2115384615383</v>
      </c>
      <c r="AL20" s="231">
        <f>+Janvier!AN20</f>
        <v>686.1888111888112</v>
      </c>
      <c r="AM20" s="231">
        <f>+Janvier!AO20</f>
        <v>424.57932692307691</v>
      </c>
      <c r="AN20" s="231">
        <f>+Janvier!AP20</f>
        <v>849.15865384615381</v>
      </c>
      <c r="AO20" s="231">
        <f>+Janvier!AQ20</f>
        <v>424.57932692307691</v>
      </c>
      <c r="AP20" s="231">
        <f>+Janvier!AR20</f>
        <v>424.57932692307691</v>
      </c>
      <c r="AQ20" s="231">
        <f>+Janvier!AS20</f>
        <v>754.80769230769226</v>
      </c>
      <c r="AR20" s="32">
        <f t="shared" si="20"/>
        <v>0</v>
      </c>
      <c r="AS20" s="32">
        <f t="shared" si="21"/>
        <v>2</v>
      </c>
      <c r="AT20" s="32">
        <f t="shared" si="22"/>
        <v>2</v>
      </c>
      <c r="AU20" s="32">
        <f t="shared" si="23"/>
        <v>3</v>
      </c>
      <c r="AV20" s="32">
        <f t="shared" si="24"/>
        <v>1</v>
      </c>
      <c r="AW20" s="32">
        <f t="shared" si="25"/>
        <v>0</v>
      </c>
      <c r="AX20" s="32">
        <f t="shared" si="26"/>
        <v>2</v>
      </c>
      <c r="AY20" s="32">
        <f t="shared" si="27"/>
        <v>1</v>
      </c>
      <c r="AZ20" s="32">
        <f t="shared" si="28"/>
        <v>1</v>
      </c>
      <c r="BA20" s="33">
        <f t="shared" si="29"/>
        <v>2</v>
      </c>
    </row>
    <row r="21" spans="1:53" x14ac:dyDescent="0.3">
      <c r="A21" s="140" t="s">
        <v>91</v>
      </c>
      <c r="B21" s="160">
        <v>43983</v>
      </c>
      <c r="C21" s="160">
        <v>44012</v>
      </c>
      <c r="D21" s="252">
        <v>0</v>
      </c>
      <c r="E21" s="149">
        <v>21620</v>
      </c>
      <c r="F21" s="150">
        <v>0</v>
      </c>
      <c r="G21" s="125">
        <v>0</v>
      </c>
      <c r="H21" s="123">
        <v>81440</v>
      </c>
      <c r="I21" s="126">
        <v>0</v>
      </c>
      <c r="J21" s="125">
        <v>0</v>
      </c>
      <c r="K21" s="123">
        <v>69000</v>
      </c>
      <c r="L21" s="124">
        <v>0</v>
      </c>
      <c r="M21" s="125">
        <v>0</v>
      </c>
      <c r="N21" s="123">
        <v>58144</v>
      </c>
      <c r="O21" s="124">
        <v>0</v>
      </c>
      <c r="P21" s="125">
        <v>0</v>
      </c>
      <c r="Q21" s="123">
        <v>38250</v>
      </c>
      <c r="R21" s="124">
        <v>0</v>
      </c>
      <c r="S21" s="125">
        <v>0</v>
      </c>
      <c r="T21" s="123">
        <v>20355</v>
      </c>
      <c r="U21" s="124">
        <v>0</v>
      </c>
      <c r="V21" s="125">
        <v>0</v>
      </c>
      <c r="W21" s="123">
        <v>60790</v>
      </c>
      <c r="X21" s="124">
        <v>0</v>
      </c>
      <c r="Y21" s="125">
        <v>0</v>
      </c>
      <c r="Z21" s="114">
        <v>23850</v>
      </c>
      <c r="AA21" s="115">
        <v>0</v>
      </c>
      <c r="AB21" s="113">
        <v>0</v>
      </c>
      <c r="AC21" s="123">
        <v>26960</v>
      </c>
      <c r="AD21" s="124">
        <v>0</v>
      </c>
      <c r="AE21" s="125">
        <v>0</v>
      </c>
      <c r="AF21" s="123">
        <v>60370</v>
      </c>
      <c r="AG21" s="126">
        <v>0</v>
      </c>
      <c r="AH21" s="231">
        <f>+Janvier!AJ21</f>
        <v>46732.578750000001</v>
      </c>
      <c r="AI21" s="231">
        <f>+Janvier!AK21</f>
        <v>160746.05769230769</v>
      </c>
      <c r="AJ21" s="231">
        <f>+Janvier!AL21</f>
        <v>107056.87442307695</v>
      </c>
      <c r="AK21" s="231">
        <f>+Janvier!AM21</f>
        <v>107056.87442307695</v>
      </c>
      <c r="AL21" s="231">
        <f>+Janvier!AN21</f>
        <v>67513.344230769231</v>
      </c>
      <c r="AM21" s="231">
        <f>+Janvier!AO21</f>
        <v>40186.514423076922</v>
      </c>
      <c r="AN21" s="231">
        <f>+Janvier!AP21</f>
        <v>80373.028846153844</v>
      </c>
      <c r="AO21" s="231">
        <f>+Janvier!AQ21</f>
        <v>40186.514423076922</v>
      </c>
      <c r="AP21" s="231">
        <f>+Janvier!AR21</f>
        <v>40186.514423076922</v>
      </c>
      <c r="AQ21" s="231">
        <f>+Janvier!AS21</f>
        <v>72549.877500000002</v>
      </c>
      <c r="AR21" s="90">
        <f>ROUND(E21/(AH21/15),0)</f>
        <v>7</v>
      </c>
      <c r="AS21" s="90">
        <f t="shared" ref="AS21" si="30">ROUND(H21/(AI21/15),0)</f>
        <v>8</v>
      </c>
      <c r="AT21" s="90">
        <f t="shared" ref="AT21" si="31">ROUND(K21/(AJ21/15),0)</f>
        <v>10</v>
      </c>
      <c r="AU21" s="90">
        <f t="shared" ref="AU21" si="32">ROUND(N21/(AK21/15),0)</f>
        <v>8</v>
      </c>
      <c r="AV21" s="90">
        <f t="shared" ref="AV21" si="33">ROUND(Q21/(AL21/15),0)</f>
        <v>8</v>
      </c>
      <c r="AW21" s="90">
        <f t="shared" ref="AW21" si="34">ROUND(T21/(AM21/15),0)</f>
        <v>8</v>
      </c>
      <c r="AX21" s="90">
        <f t="shared" ref="AX21" si="35">ROUND(W21/(AN21/15),0)</f>
        <v>11</v>
      </c>
      <c r="AY21" s="90">
        <f t="shared" ref="AY21" si="36">ROUND(Z21/(AO21/15),0)</f>
        <v>9</v>
      </c>
      <c r="AZ21" s="90">
        <f t="shared" ref="AZ21" si="37">ROUND(AC21/(AP21/15),0)</f>
        <v>10</v>
      </c>
      <c r="BA21" s="91">
        <f t="shared" ref="BA21" si="38">ROUND(AF21/(AQ21/15),0)</f>
        <v>12</v>
      </c>
    </row>
    <row r="22" spans="1:53" x14ac:dyDescent="0.3">
      <c r="A22" s="184" t="s">
        <v>14</v>
      </c>
      <c r="B22" s="94">
        <v>43983</v>
      </c>
      <c r="C22" s="94">
        <v>44012</v>
      </c>
      <c r="D22" s="104">
        <v>0</v>
      </c>
      <c r="E22" s="96">
        <v>300</v>
      </c>
      <c r="F22" s="97">
        <v>0</v>
      </c>
      <c r="G22" s="95">
        <v>0</v>
      </c>
      <c r="H22" s="96">
        <v>1900</v>
      </c>
      <c r="I22" s="105">
        <v>0</v>
      </c>
      <c r="J22" s="95">
        <v>0</v>
      </c>
      <c r="K22" s="96">
        <v>1550</v>
      </c>
      <c r="L22" s="97">
        <v>0</v>
      </c>
      <c r="M22" s="95">
        <v>0</v>
      </c>
      <c r="N22" s="96">
        <v>1484</v>
      </c>
      <c r="O22" s="97">
        <v>0</v>
      </c>
      <c r="P22" s="95">
        <v>0</v>
      </c>
      <c r="Q22" s="96">
        <v>437</v>
      </c>
      <c r="R22" s="97">
        <v>0</v>
      </c>
      <c r="S22" s="95">
        <v>0</v>
      </c>
      <c r="T22" s="96">
        <v>610</v>
      </c>
      <c r="U22" s="97">
        <v>0</v>
      </c>
      <c r="V22" s="95">
        <v>0</v>
      </c>
      <c r="W22" s="96">
        <v>2340</v>
      </c>
      <c r="X22" s="97">
        <v>0</v>
      </c>
      <c r="Y22" s="95">
        <v>0</v>
      </c>
      <c r="Z22" s="96">
        <v>920</v>
      </c>
      <c r="AA22" s="100">
        <v>0</v>
      </c>
      <c r="AB22" s="95">
        <v>0</v>
      </c>
      <c r="AC22" s="96">
        <v>820</v>
      </c>
      <c r="AD22" s="97">
        <v>0</v>
      </c>
      <c r="AE22" s="95">
        <v>0</v>
      </c>
      <c r="AF22" s="96">
        <v>3200</v>
      </c>
      <c r="AG22" s="105">
        <v>0</v>
      </c>
      <c r="AH22" s="231">
        <f>+Janvier!AJ22</f>
        <v>1770.3296703296703</v>
      </c>
      <c r="AI22" s="231">
        <f>+Janvier!AK22</f>
        <v>5507.6923076923067</v>
      </c>
      <c r="AJ22" s="231">
        <f>+Janvier!AL22</f>
        <v>4130.7692307692305</v>
      </c>
      <c r="AK22" s="231">
        <f>+Janvier!AM22</f>
        <v>4130.7692307692305</v>
      </c>
      <c r="AL22" s="231">
        <f>+Janvier!AN22</f>
        <v>2503.4965034965039</v>
      </c>
      <c r="AM22" s="231">
        <f>+Janvier!AO22</f>
        <v>1549.0384615384617</v>
      </c>
      <c r="AN22" s="231">
        <f>+Janvier!AP22</f>
        <v>3098.0769230769233</v>
      </c>
      <c r="AO22" s="231">
        <f>+Janvier!AQ22</f>
        <v>1549.0384615384617</v>
      </c>
      <c r="AP22" s="231">
        <f>+Janvier!AR22</f>
        <v>1549.0384615384617</v>
      </c>
      <c r="AQ22" s="231">
        <f>+Janvier!AS22</f>
        <v>2753.8461538461534</v>
      </c>
      <c r="AR22" s="90">
        <f t="shared" ref="AR22:AR29" si="39">ROUND(E22/(AH22/5),0)</f>
        <v>1</v>
      </c>
      <c r="AS22" s="90">
        <f t="shared" ref="AS22:AS29" si="40">ROUND(H22/(AI22/5),0)</f>
        <v>2</v>
      </c>
      <c r="AT22" s="90">
        <f t="shared" ref="AT22:AT29" si="41">ROUND(K22/(AJ22/5),0)</f>
        <v>2</v>
      </c>
      <c r="AU22" s="90">
        <f t="shared" ref="AU22:AU29" si="42">ROUND(N22/(AK22/5),0)</f>
        <v>2</v>
      </c>
      <c r="AV22" s="90">
        <f t="shared" ref="AV22:AV29" si="43">ROUND(Q22/(AL22/5),0)</f>
        <v>1</v>
      </c>
      <c r="AW22" s="90">
        <f t="shared" ref="AW22:AW29" si="44">ROUND(T22/(AM22/5),0)</f>
        <v>2</v>
      </c>
      <c r="AX22" s="90">
        <f t="shared" ref="AX22" si="45">ROUND(W22/(AN22/5),0)</f>
        <v>4</v>
      </c>
      <c r="AY22" s="90">
        <f t="shared" ref="AY22:AY29" si="46">ROUND(Z22/(AO22/5),0)</f>
        <v>3</v>
      </c>
      <c r="AZ22" s="90">
        <f t="shared" ref="AZ22:AZ29" si="47">ROUND(AC22/(AP22/5),0)</f>
        <v>3</v>
      </c>
      <c r="BA22" s="91">
        <f t="shared" ref="BA22:BA29" si="48">ROUND(AF22/(AQ22/5),0)</f>
        <v>6</v>
      </c>
    </row>
    <row r="23" spans="1:53" x14ac:dyDescent="0.3">
      <c r="A23" s="184" t="s">
        <v>15</v>
      </c>
      <c r="B23" s="94">
        <v>43983</v>
      </c>
      <c r="C23" s="94">
        <v>44012</v>
      </c>
      <c r="D23" s="104">
        <v>0</v>
      </c>
      <c r="E23" s="96">
        <v>740</v>
      </c>
      <c r="F23" s="97">
        <v>0</v>
      </c>
      <c r="G23" s="95">
        <v>0</v>
      </c>
      <c r="H23" s="96">
        <v>3040</v>
      </c>
      <c r="I23" s="105">
        <v>0</v>
      </c>
      <c r="J23" s="95">
        <v>0</v>
      </c>
      <c r="K23" s="96">
        <v>2260</v>
      </c>
      <c r="L23" s="97">
        <v>0</v>
      </c>
      <c r="M23" s="95">
        <v>0</v>
      </c>
      <c r="N23" s="96">
        <v>2336</v>
      </c>
      <c r="O23" s="97">
        <v>0</v>
      </c>
      <c r="P23" s="95">
        <v>0</v>
      </c>
      <c r="Q23" s="96">
        <v>1310</v>
      </c>
      <c r="R23" s="97">
        <v>0</v>
      </c>
      <c r="S23" s="95">
        <v>0</v>
      </c>
      <c r="T23" s="96">
        <v>700</v>
      </c>
      <c r="U23" s="97">
        <v>0</v>
      </c>
      <c r="V23" s="95">
        <v>0</v>
      </c>
      <c r="W23" s="96">
        <v>1700</v>
      </c>
      <c r="X23" s="97">
        <v>0</v>
      </c>
      <c r="Y23" s="95">
        <v>0</v>
      </c>
      <c r="Z23" s="96">
        <v>800</v>
      </c>
      <c r="AA23" s="100">
        <v>0</v>
      </c>
      <c r="AB23" s="95">
        <v>0</v>
      </c>
      <c r="AC23" s="96">
        <v>830</v>
      </c>
      <c r="AD23" s="97">
        <v>0</v>
      </c>
      <c r="AE23" s="95">
        <v>0</v>
      </c>
      <c r="AF23" s="96">
        <v>2220</v>
      </c>
      <c r="AG23" s="105">
        <v>0</v>
      </c>
      <c r="AH23" s="231">
        <f>+Janvier!AJ23</f>
        <v>768.21428571428578</v>
      </c>
      <c r="AI23" s="231">
        <f>+Janvier!AK23</f>
        <v>2390.0000000000005</v>
      </c>
      <c r="AJ23" s="231">
        <f>+Janvier!AL23</f>
        <v>1792.5000000000002</v>
      </c>
      <c r="AK23" s="231">
        <f>+Janvier!AM23</f>
        <v>1792.5000000000002</v>
      </c>
      <c r="AL23" s="231">
        <f>+Janvier!AN23</f>
        <v>1086.3636363636365</v>
      </c>
      <c r="AM23" s="231">
        <f>+Janvier!AO23</f>
        <v>672.1875</v>
      </c>
      <c r="AN23" s="231">
        <f>+Janvier!AP23</f>
        <v>1344.375</v>
      </c>
      <c r="AO23" s="231">
        <f>+Janvier!AQ23</f>
        <v>672.1875</v>
      </c>
      <c r="AP23" s="231">
        <f>+Janvier!AR23</f>
        <v>672.1875</v>
      </c>
      <c r="AQ23" s="231">
        <f>+Janvier!AS23</f>
        <v>1195.0000000000002</v>
      </c>
      <c r="AR23" s="90">
        <f t="shared" si="39"/>
        <v>5</v>
      </c>
      <c r="AS23" s="90">
        <f t="shared" si="40"/>
        <v>6</v>
      </c>
      <c r="AT23" s="90">
        <f t="shared" si="41"/>
        <v>6</v>
      </c>
      <c r="AU23" s="90">
        <f t="shared" si="42"/>
        <v>7</v>
      </c>
      <c r="AV23" s="90">
        <f t="shared" si="43"/>
        <v>6</v>
      </c>
      <c r="AW23" s="90">
        <f t="shared" si="44"/>
        <v>5</v>
      </c>
      <c r="AX23" s="90">
        <f>ROUND(W23/(AN23/5),0)</f>
        <v>6</v>
      </c>
      <c r="AY23" s="90">
        <f t="shared" si="46"/>
        <v>6</v>
      </c>
      <c r="AZ23" s="90">
        <f t="shared" si="47"/>
        <v>6</v>
      </c>
      <c r="BA23" s="91">
        <f t="shared" si="48"/>
        <v>9</v>
      </c>
    </row>
    <row r="24" spans="1:53" ht="14.25" customHeight="1" x14ac:dyDescent="0.3">
      <c r="A24" s="184" t="s">
        <v>16</v>
      </c>
      <c r="B24" s="94">
        <v>43983</v>
      </c>
      <c r="C24" s="94">
        <v>44012</v>
      </c>
      <c r="D24" s="104">
        <v>0</v>
      </c>
      <c r="E24" s="96">
        <v>240</v>
      </c>
      <c r="F24" s="97">
        <v>0</v>
      </c>
      <c r="G24" s="95">
        <v>0</v>
      </c>
      <c r="H24" s="96">
        <v>1820</v>
      </c>
      <c r="I24" s="105">
        <v>0</v>
      </c>
      <c r="J24" s="95">
        <v>0</v>
      </c>
      <c r="K24" s="96">
        <v>1020</v>
      </c>
      <c r="L24" s="97">
        <v>0</v>
      </c>
      <c r="M24" s="95">
        <v>0</v>
      </c>
      <c r="N24" s="96">
        <v>1328</v>
      </c>
      <c r="O24" s="97">
        <v>0</v>
      </c>
      <c r="P24" s="95">
        <v>0</v>
      </c>
      <c r="Q24" s="96">
        <v>568</v>
      </c>
      <c r="R24" s="97">
        <v>0</v>
      </c>
      <c r="S24" s="95">
        <v>0</v>
      </c>
      <c r="T24" s="96">
        <v>130</v>
      </c>
      <c r="U24" s="97">
        <v>0</v>
      </c>
      <c r="V24" s="95">
        <v>0</v>
      </c>
      <c r="W24" s="96">
        <v>2230</v>
      </c>
      <c r="X24" s="97">
        <v>0</v>
      </c>
      <c r="Y24" s="95">
        <v>0</v>
      </c>
      <c r="Z24" s="96">
        <v>610</v>
      </c>
      <c r="AA24" s="100">
        <v>0</v>
      </c>
      <c r="AB24" s="95">
        <v>0</v>
      </c>
      <c r="AC24" s="96">
        <v>540</v>
      </c>
      <c r="AD24" s="97">
        <v>0</v>
      </c>
      <c r="AE24" s="95">
        <v>0</v>
      </c>
      <c r="AF24" s="96">
        <v>3060</v>
      </c>
      <c r="AG24" s="105">
        <v>0</v>
      </c>
      <c r="AH24" s="231">
        <f>+Janvier!AJ24</f>
        <v>3452.1428571428573</v>
      </c>
      <c r="AI24" s="231">
        <f>+Janvier!AK24</f>
        <v>10740.000000000002</v>
      </c>
      <c r="AJ24" s="231">
        <f>+Janvier!AL24</f>
        <v>8055</v>
      </c>
      <c r="AK24" s="231">
        <f>+Janvier!AM24</f>
        <v>8055</v>
      </c>
      <c r="AL24" s="231">
        <f>+Janvier!AN24</f>
        <v>4881.818181818182</v>
      </c>
      <c r="AM24" s="231">
        <f>+Janvier!AO24</f>
        <v>3020.6250000000005</v>
      </c>
      <c r="AN24" s="231">
        <f>+Janvier!AP24</f>
        <v>6041.2500000000009</v>
      </c>
      <c r="AO24" s="231">
        <f>+Janvier!AQ24</f>
        <v>3020.6250000000005</v>
      </c>
      <c r="AP24" s="231">
        <f>+Janvier!AR24</f>
        <v>3020.6250000000005</v>
      </c>
      <c r="AQ24" s="231">
        <f>+Janvier!AS24</f>
        <v>5370.0000000000009</v>
      </c>
      <c r="AR24" s="90">
        <f t="shared" si="39"/>
        <v>0</v>
      </c>
      <c r="AS24" s="90">
        <f t="shared" si="40"/>
        <v>1</v>
      </c>
      <c r="AT24" s="90">
        <f t="shared" si="41"/>
        <v>1</v>
      </c>
      <c r="AU24" s="90">
        <f t="shared" si="42"/>
        <v>1</v>
      </c>
      <c r="AV24" s="90">
        <f t="shared" si="43"/>
        <v>1</v>
      </c>
      <c r="AW24" s="90">
        <f>ROUND(T24/(AM24/5),0)</f>
        <v>0</v>
      </c>
      <c r="AX24" s="90">
        <f t="shared" ref="AX24:AX29" si="49">ROUND(W24/(AN24/5),0)</f>
        <v>2</v>
      </c>
      <c r="AY24" s="90">
        <f t="shared" si="46"/>
        <v>1</v>
      </c>
      <c r="AZ24" s="90">
        <f t="shared" si="47"/>
        <v>1</v>
      </c>
      <c r="BA24" s="91">
        <f t="shared" si="48"/>
        <v>3</v>
      </c>
    </row>
    <row r="25" spans="1:53" ht="14.25" customHeight="1" x14ac:dyDescent="0.3">
      <c r="A25" s="184" t="s">
        <v>17</v>
      </c>
      <c r="B25" s="94">
        <v>43983</v>
      </c>
      <c r="C25" s="94">
        <v>44012</v>
      </c>
      <c r="D25" s="104">
        <v>4400</v>
      </c>
      <c r="E25" s="96">
        <v>4720</v>
      </c>
      <c r="F25" s="97">
        <v>0</v>
      </c>
      <c r="G25" s="95">
        <v>9060</v>
      </c>
      <c r="H25" s="96">
        <v>12060</v>
      </c>
      <c r="I25" s="105">
        <v>0</v>
      </c>
      <c r="J25" s="95">
        <v>7360</v>
      </c>
      <c r="K25" s="96">
        <v>9040</v>
      </c>
      <c r="L25" s="97">
        <v>0</v>
      </c>
      <c r="M25" s="95">
        <v>5084</v>
      </c>
      <c r="N25" s="96">
        <v>9040</v>
      </c>
      <c r="O25" s="97">
        <v>0</v>
      </c>
      <c r="P25" s="95">
        <v>4650</v>
      </c>
      <c r="Q25" s="96">
        <v>5796</v>
      </c>
      <c r="R25" s="97">
        <v>0</v>
      </c>
      <c r="S25" s="95">
        <v>2445</v>
      </c>
      <c r="T25" s="96">
        <v>3020</v>
      </c>
      <c r="U25" s="97">
        <v>0</v>
      </c>
      <c r="V25" s="95">
        <v>4080</v>
      </c>
      <c r="W25" s="96">
        <v>7100</v>
      </c>
      <c r="X25" s="97">
        <v>0</v>
      </c>
      <c r="Y25" s="95">
        <v>2570</v>
      </c>
      <c r="Z25" s="96">
        <v>3550</v>
      </c>
      <c r="AA25" s="100">
        <v>0</v>
      </c>
      <c r="AB25" s="95">
        <v>2670</v>
      </c>
      <c r="AC25" s="96">
        <v>3550</v>
      </c>
      <c r="AD25" s="97">
        <v>0</v>
      </c>
      <c r="AE25" s="95">
        <v>4120</v>
      </c>
      <c r="AF25" s="96">
        <v>7300</v>
      </c>
      <c r="AG25" s="105">
        <v>0</v>
      </c>
      <c r="AH25" s="231">
        <f>+Janvier!AJ25</f>
        <v>3638.3241758241757</v>
      </c>
      <c r="AI25" s="231">
        <f>+Janvier!AK25</f>
        <v>11319.23076923077</v>
      </c>
      <c r="AJ25" s="231">
        <f>+Janvier!AL25</f>
        <v>8489.423076923078</v>
      </c>
      <c r="AK25" s="231">
        <f>+Janvier!AM25</f>
        <v>8489.423076923078</v>
      </c>
      <c r="AL25" s="231">
        <f>+Janvier!AN25</f>
        <v>5145.1048951048951</v>
      </c>
      <c r="AM25" s="231">
        <f>+Janvier!AO25</f>
        <v>3183.5336538461534</v>
      </c>
      <c r="AN25" s="231">
        <f>+Janvier!AP25</f>
        <v>6367.0673076923067</v>
      </c>
      <c r="AO25" s="231">
        <f>+Janvier!AQ25</f>
        <v>3183.5336538461534</v>
      </c>
      <c r="AP25" s="231">
        <f>+Janvier!AR25</f>
        <v>3183.5336538461534</v>
      </c>
      <c r="AQ25" s="231">
        <f>+Janvier!AS25</f>
        <v>5659.6153846153848</v>
      </c>
      <c r="AR25" s="90">
        <f t="shared" si="39"/>
        <v>6</v>
      </c>
      <c r="AS25" s="90">
        <f t="shared" si="40"/>
        <v>5</v>
      </c>
      <c r="AT25" s="90">
        <f t="shared" si="41"/>
        <v>5</v>
      </c>
      <c r="AU25" s="90">
        <f t="shared" si="42"/>
        <v>5</v>
      </c>
      <c r="AV25" s="90">
        <f>ROUND(Q25/(AL25/5),0)</f>
        <v>6</v>
      </c>
      <c r="AW25" s="90">
        <f t="shared" si="44"/>
        <v>5</v>
      </c>
      <c r="AX25" s="90">
        <f t="shared" si="49"/>
        <v>6</v>
      </c>
      <c r="AY25" s="90">
        <f t="shared" si="46"/>
        <v>6</v>
      </c>
      <c r="AZ25" s="90">
        <f t="shared" si="47"/>
        <v>6</v>
      </c>
      <c r="BA25" s="91">
        <f t="shared" si="48"/>
        <v>6</v>
      </c>
    </row>
    <row r="26" spans="1:53" ht="14.25" customHeight="1" x14ac:dyDescent="0.3">
      <c r="A26" s="184" t="s">
        <v>18</v>
      </c>
      <c r="B26" s="94">
        <v>43983</v>
      </c>
      <c r="C26" s="94">
        <v>44012</v>
      </c>
      <c r="D26" s="104">
        <v>0</v>
      </c>
      <c r="E26" s="96">
        <v>960</v>
      </c>
      <c r="F26" s="97">
        <v>0</v>
      </c>
      <c r="G26" s="95">
        <v>0</v>
      </c>
      <c r="H26" s="96">
        <v>2800</v>
      </c>
      <c r="I26" s="105">
        <v>0</v>
      </c>
      <c r="J26" s="95">
        <v>0</v>
      </c>
      <c r="K26" s="96">
        <v>2110</v>
      </c>
      <c r="L26" s="97">
        <v>0</v>
      </c>
      <c r="M26" s="95">
        <v>0</v>
      </c>
      <c r="N26" s="96">
        <v>2092</v>
      </c>
      <c r="O26" s="97">
        <v>0</v>
      </c>
      <c r="P26" s="95">
        <v>0</v>
      </c>
      <c r="Q26" s="96">
        <v>1252</v>
      </c>
      <c r="R26" s="97">
        <v>0</v>
      </c>
      <c r="S26" s="95">
        <v>0</v>
      </c>
      <c r="T26" s="96">
        <v>620</v>
      </c>
      <c r="U26" s="97">
        <v>0</v>
      </c>
      <c r="V26" s="95">
        <v>0</v>
      </c>
      <c r="W26" s="96">
        <v>1820</v>
      </c>
      <c r="X26" s="97">
        <v>0</v>
      </c>
      <c r="Y26" s="95">
        <v>0</v>
      </c>
      <c r="Z26" s="96">
        <v>840</v>
      </c>
      <c r="AA26" s="100">
        <v>0</v>
      </c>
      <c r="AB26" s="95">
        <v>0</v>
      </c>
      <c r="AC26" s="96">
        <v>840</v>
      </c>
      <c r="AD26" s="97">
        <v>0</v>
      </c>
      <c r="AE26" s="95">
        <v>0</v>
      </c>
      <c r="AF26" s="96">
        <v>1920</v>
      </c>
      <c r="AG26" s="105">
        <v>0</v>
      </c>
      <c r="AH26" s="231">
        <f>+Janvier!AJ26</f>
        <v>723.70879120879124</v>
      </c>
      <c r="AI26" s="231">
        <f>+Janvier!AK26</f>
        <v>2251.5384615384619</v>
      </c>
      <c r="AJ26" s="231">
        <f>+Janvier!AL26</f>
        <v>1688.6538461538464</v>
      </c>
      <c r="AK26" s="231">
        <f>+Janvier!AM26</f>
        <v>1688.6538461538464</v>
      </c>
      <c r="AL26" s="231">
        <f>+Janvier!AN26</f>
        <v>1023.4265734265737</v>
      </c>
      <c r="AM26" s="231">
        <f>+Janvier!AO26</f>
        <v>633.24519230769238</v>
      </c>
      <c r="AN26" s="231">
        <f>+Janvier!AP26</f>
        <v>1266.4903846153848</v>
      </c>
      <c r="AO26" s="231">
        <f>+Janvier!AQ26</f>
        <v>633.24519230769238</v>
      </c>
      <c r="AP26" s="231">
        <f>+Janvier!AR26</f>
        <v>633.24519230769238</v>
      </c>
      <c r="AQ26" s="231">
        <f>+Janvier!AS26</f>
        <v>1125.7692307692309</v>
      </c>
      <c r="AR26" s="90">
        <f t="shared" si="39"/>
        <v>7</v>
      </c>
      <c r="AS26" s="90">
        <f t="shared" si="40"/>
        <v>6</v>
      </c>
      <c r="AT26" s="90">
        <f t="shared" si="41"/>
        <v>6</v>
      </c>
      <c r="AU26" s="90">
        <f t="shared" si="42"/>
        <v>6</v>
      </c>
      <c r="AV26" s="90">
        <f t="shared" si="43"/>
        <v>6</v>
      </c>
      <c r="AW26" s="90">
        <f t="shared" si="44"/>
        <v>5</v>
      </c>
      <c r="AX26" s="90">
        <f t="shared" si="49"/>
        <v>7</v>
      </c>
      <c r="AY26" s="90">
        <f t="shared" si="46"/>
        <v>7</v>
      </c>
      <c r="AZ26" s="90">
        <f t="shared" si="47"/>
        <v>7</v>
      </c>
      <c r="BA26" s="91">
        <f t="shared" si="48"/>
        <v>9</v>
      </c>
    </row>
    <row r="27" spans="1:53" ht="14.25" customHeight="1" x14ac:dyDescent="0.3">
      <c r="A27" s="184" t="s">
        <v>19</v>
      </c>
      <c r="B27" s="94">
        <v>43983</v>
      </c>
      <c r="C27" s="94">
        <v>44012</v>
      </c>
      <c r="D27" s="104">
        <v>1720</v>
      </c>
      <c r="E27" s="96">
        <v>1720</v>
      </c>
      <c r="F27" s="97">
        <v>0</v>
      </c>
      <c r="G27" s="95">
        <v>5000</v>
      </c>
      <c r="H27" s="96">
        <v>6640</v>
      </c>
      <c r="I27" s="105">
        <v>0</v>
      </c>
      <c r="J27" s="95">
        <v>3000</v>
      </c>
      <c r="K27" s="96">
        <v>4800</v>
      </c>
      <c r="L27" s="97">
        <v>0</v>
      </c>
      <c r="M27" s="95">
        <v>3498</v>
      </c>
      <c r="N27" s="96">
        <v>4772</v>
      </c>
      <c r="O27" s="97">
        <v>0</v>
      </c>
      <c r="P27" s="95">
        <v>2500</v>
      </c>
      <c r="Q27" s="96">
        <v>3155</v>
      </c>
      <c r="R27" s="97">
        <v>0</v>
      </c>
      <c r="S27" s="95">
        <v>1200</v>
      </c>
      <c r="T27" s="96">
        <v>1565</v>
      </c>
      <c r="U27" s="97">
        <v>0</v>
      </c>
      <c r="V27" s="95">
        <v>2200</v>
      </c>
      <c r="W27" s="96">
        <v>3740</v>
      </c>
      <c r="X27" s="97">
        <v>0</v>
      </c>
      <c r="Y27" s="95">
        <v>1300</v>
      </c>
      <c r="Z27" s="96">
        <v>1870</v>
      </c>
      <c r="AA27" s="100">
        <v>0</v>
      </c>
      <c r="AB27" s="95">
        <v>1200</v>
      </c>
      <c r="AC27" s="96">
        <v>1860</v>
      </c>
      <c r="AD27" s="97">
        <v>0</v>
      </c>
      <c r="AE27" s="95">
        <v>2300</v>
      </c>
      <c r="AF27" s="96">
        <v>4050</v>
      </c>
      <c r="AG27" s="105">
        <v>0</v>
      </c>
      <c r="AH27" s="231">
        <f>+Janvier!AJ27</f>
        <v>1833.75</v>
      </c>
      <c r="AI27" s="231">
        <f>+Janvier!AK27</f>
        <v>5705.0000000000009</v>
      </c>
      <c r="AJ27" s="231">
        <f>+Janvier!AL27</f>
        <v>4278.7500000000009</v>
      </c>
      <c r="AK27" s="231">
        <f>+Janvier!AM27</f>
        <v>4278.7500000000009</v>
      </c>
      <c r="AL27" s="231">
        <f>+Janvier!AN27</f>
        <v>2593.1818181818189</v>
      </c>
      <c r="AM27" s="231">
        <f>+Janvier!AO27</f>
        <v>1604.53125</v>
      </c>
      <c r="AN27" s="231">
        <f>+Janvier!AP27</f>
        <v>3209.0625</v>
      </c>
      <c r="AO27" s="231">
        <f>+Janvier!AQ27</f>
        <v>1604.53125</v>
      </c>
      <c r="AP27" s="231">
        <f>+Janvier!AR27</f>
        <v>1604.53125</v>
      </c>
      <c r="AQ27" s="231">
        <f>+Janvier!AS27</f>
        <v>2852.5000000000005</v>
      </c>
      <c r="AR27" s="90">
        <f t="shared" si="39"/>
        <v>5</v>
      </c>
      <c r="AS27" s="90">
        <f t="shared" si="40"/>
        <v>6</v>
      </c>
      <c r="AT27" s="90">
        <f t="shared" si="41"/>
        <v>6</v>
      </c>
      <c r="AU27" s="90">
        <f t="shared" si="42"/>
        <v>6</v>
      </c>
      <c r="AV27" s="90">
        <f t="shared" si="43"/>
        <v>6</v>
      </c>
      <c r="AW27" s="90">
        <f t="shared" si="44"/>
        <v>5</v>
      </c>
      <c r="AX27" s="90">
        <f t="shared" si="49"/>
        <v>6</v>
      </c>
      <c r="AY27" s="90">
        <f t="shared" si="46"/>
        <v>6</v>
      </c>
      <c r="AZ27" s="90">
        <f t="shared" si="47"/>
        <v>6</v>
      </c>
      <c r="BA27" s="91">
        <f t="shared" si="48"/>
        <v>7</v>
      </c>
    </row>
    <row r="28" spans="1:53" ht="14.25" customHeight="1" x14ac:dyDescent="0.3">
      <c r="A28" s="184" t="s">
        <v>20</v>
      </c>
      <c r="B28" s="94">
        <v>43983</v>
      </c>
      <c r="C28" s="94">
        <v>44012</v>
      </c>
      <c r="D28" s="104">
        <v>0</v>
      </c>
      <c r="E28" s="96">
        <v>1400</v>
      </c>
      <c r="F28" s="97">
        <v>0</v>
      </c>
      <c r="G28" s="95">
        <v>0</v>
      </c>
      <c r="H28" s="96">
        <v>5440</v>
      </c>
      <c r="I28" s="105">
        <v>0</v>
      </c>
      <c r="J28" s="95">
        <v>0</v>
      </c>
      <c r="K28" s="96">
        <v>4840</v>
      </c>
      <c r="L28" s="97">
        <v>0</v>
      </c>
      <c r="M28" s="95">
        <v>0</v>
      </c>
      <c r="N28" s="96">
        <v>3716</v>
      </c>
      <c r="O28" s="97">
        <v>0</v>
      </c>
      <c r="P28" s="95">
        <v>0</v>
      </c>
      <c r="Q28" s="96">
        <v>1723</v>
      </c>
      <c r="R28" s="97">
        <v>0</v>
      </c>
      <c r="S28" s="95">
        <v>0</v>
      </c>
      <c r="T28" s="96">
        <v>1045</v>
      </c>
      <c r="U28" s="97">
        <v>0</v>
      </c>
      <c r="V28" s="95">
        <v>0</v>
      </c>
      <c r="W28" s="96">
        <v>3820</v>
      </c>
      <c r="X28" s="97">
        <v>0</v>
      </c>
      <c r="Y28" s="95">
        <v>0</v>
      </c>
      <c r="Z28" s="96">
        <v>1730</v>
      </c>
      <c r="AA28" s="100">
        <v>0</v>
      </c>
      <c r="AB28" s="95">
        <v>0</v>
      </c>
      <c r="AC28" s="96">
        <v>1680</v>
      </c>
      <c r="AD28" s="97">
        <v>0</v>
      </c>
      <c r="AE28" s="95">
        <v>0</v>
      </c>
      <c r="AF28" s="96">
        <v>4210</v>
      </c>
      <c r="AG28" s="105">
        <v>0</v>
      </c>
      <c r="AH28" s="231">
        <f>+Janvier!AJ28</f>
        <v>1230.2060439560439</v>
      </c>
      <c r="AI28" s="231">
        <f>+Janvier!AK28</f>
        <v>3827.3076923076924</v>
      </c>
      <c r="AJ28" s="231">
        <f>+Janvier!AL28</f>
        <v>2870.4807692307691</v>
      </c>
      <c r="AK28" s="231">
        <f>+Janvier!AM28</f>
        <v>2870.4807692307691</v>
      </c>
      <c r="AL28" s="231">
        <f>+Janvier!AN28</f>
        <v>1739.6853146853146</v>
      </c>
      <c r="AM28" s="231">
        <f>+Janvier!AO28</f>
        <v>1076.4302884615383</v>
      </c>
      <c r="AN28" s="231">
        <f>+Janvier!AP28</f>
        <v>2152.8605769230767</v>
      </c>
      <c r="AO28" s="231">
        <f>+Janvier!AQ28</f>
        <v>1076.4302884615383</v>
      </c>
      <c r="AP28" s="231">
        <f>+Janvier!AR28</f>
        <v>1076.4302884615383</v>
      </c>
      <c r="AQ28" s="231">
        <f>+Janvier!AS28</f>
        <v>1913.6538461538462</v>
      </c>
      <c r="AR28" s="90">
        <f t="shared" si="39"/>
        <v>6</v>
      </c>
      <c r="AS28" s="90">
        <f t="shared" si="40"/>
        <v>7</v>
      </c>
      <c r="AT28" s="90">
        <f t="shared" si="41"/>
        <v>8</v>
      </c>
      <c r="AU28" s="90">
        <f t="shared" si="42"/>
        <v>6</v>
      </c>
      <c r="AV28" s="90">
        <f t="shared" si="43"/>
        <v>5</v>
      </c>
      <c r="AW28" s="90">
        <f t="shared" si="44"/>
        <v>5</v>
      </c>
      <c r="AX28" s="90">
        <f t="shared" si="49"/>
        <v>9</v>
      </c>
      <c r="AY28" s="90">
        <f t="shared" si="46"/>
        <v>8</v>
      </c>
      <c r="AZ28" s="90">
        <f t="shared" si="47"/>
        <v>8</v>
      </c>
      <c r="BA28" s="91">
        <f t="shared" si="48"/>
        <v>11</v>
      </c>
    </row>
    <row r="29" spans="1:53" ht="15" thickBot="1" x14ac:dyDescent="0.35">
      <c r="A29" s="121" t="s">
        <v>79</v>
      </c>
      <c r="B29" s="143">
        <v>43983</v>
      </c>
      <c r="C29" s="143">
        <v>44012</v>
      </c>
      <c r="D29" s="161">
        <v>0</v>
      </c>
      <c r="E29" s="109">
        <v>2560</v>
      </c>
      <c r="F29" s="110">
        <v>0</v>
      </c>
      <c r="G29" s="111">
        <v>0</v>
      </c>
      <c r="H29" s="109">
        <v>9740</v>
      </c>
      <c r="I29" s="112">
        <v>0</v>
      </c>
      <c r="J29" s="111">
        <v>0</v>
      </c>
      <c r="K29" s="109">
        <v>5790</v>
      </c>
      <c r="L29" s="110">
        <v>0</v>
      </c>
      <c r="M29" s="111">
        <v>0</v>
      </c>
      <c r="N29" s="109">
        <v>7448</v>
      </c>
      <c r="O29" s="110">
        <v>0</v>
      </c>
      <c r="P29" s="111">
        <v>0</v>
      </c>
      <c r="Q29" s="109">
        <v>1146</v>
      </c>
      <c r="R29" s="110">
        <v>0</v>
      </c>
      <c r="S29" s="111">
        <v>0</v>
      </c>
      <c r="T29" s="109">
        <v>1900</v>
      </c>
      <c r="U29" s="110">
        <v>0</v>
      </c>
      <c r="V29" s="111">
        <v>0</v>
      </c>
      <c r="W29" s="109">
        <v>4160</v>
      </c>
      <c r="X29" s="110">
        <v>0</v>
      </c>
      <c r="Y29" s="111">
        <v>0</v>
      </c>
      <c r="Z29" s="109">
        <v>2540</v>
      </c>
      <c r="AA29" s="162">
        <v>0</v>
      </c>
      <c r="AB29" s="111">
        <v>0</v>
      </c>
      <c r="AC29" s="109">
        <v>2200</v>
      </c>
      <c r="AD29" s="110">
        <v>0</v>
      </c>
      <c r="AE29" s="111">
        <v>0</v>
      </c>
      <c r="AF29" s="109">
        <v>5320</v>
      </c>
      <c r="AG29" s="112">
        <v>0</v>
      </c>
      <c r="AH29" s="231">
        <f>+Janvier!AJ29</f>
        <v>1892.3489010989013</v>
      </c>
      <c r="AI29" s="231">
        <f>+Janvier!AK29</f>
        <v>5887.3076923076933</v>
      </c>
      <c r="AJ29" s="231">
        <f>+Janvier!AL29</f>
        <v>4415.4807692307704</v>
      </c>
      <c r="AK29" s="231">
        <f>+Janvier!AM29</f>
        <v>4415.4807692307704</v>
      </c>
      <c r="AL29" s="231">
        <f>+Janvier!AN29</f>
        <v>2676.0489510489515</v>
      </c>
      <c r="AM29" s="231">
        <f>+Janvier!AO29</f>
        <v>1655.8052884615383</v>
      </c>
      <c r="AN29" s="231">
        <f>+Janvier!AP29</f>
        <v>3311.6105769230767</v>
      </c>
      <c r="AO29" s="231">
        <f>+Janvier!AQ29</f>
        <v>1655.8052884615383</v>
      </c>
      <c r="AP29" s="231">
        <f>+Janvier!AR29</f>
        <v>1655.8052884615383</v>
      </c>
      <c r="AQ29" s="231">
        <f>+Janvier!AS29</f>
        <v>2943.6538461538466</v>
      </c>
      <c r="AR29" s="92">
        <f t="shared" si="39"/>
        <v>7</v>
      </c>
      <c r="AS29" s="92">
        <f t="shared" si="40"/>
        <v>8</v>
      </c>
      <c r="AT29" s="92">
        <f t="shared" si="41"/>
        <v>7</v>
      </c>
      <c r="AU29" s="92">
        <f t="shared" si="42"/>
        <v>8</v>
      </c>
      <c r="AV29" s="92">
        <f t="shared" si="43"/>
        <v>2</v>
      </c>
      <c r="AW29" s="92">
        <f t="shared" si="44"/>
        <v>6</v>
      </c>
      <c r="AX29" s="92">
        <f t="shared" si="49"/>
        <v>6</v>
      </c>
      <c r="AY29" s="92">
        <f t="shared" si="46"/>
        <v>8</v>
      </c>
      <c r="AZ29" s="92">
        <f t="shared" si="47"/>
        <v>7</v>
      </c>
      <c r="BA29" s="93">
        <f t="shared" si="48"/>
        <v>9</v>
      </c>
    </row>
    <row r="30" spans="1:53" ht="15" thickBot="1" x14ac:dyDescent="0.35">
      <c r="A30" s="140" t="s">
        <v>84</v>
      </c>
      <c r="B30" s="160">
        <v>43983</v>
      </c>
      <c r="C30" s="160">
        <v>44012</v>
      </c>
      <c r="D30" s="163">
        <v>80000</v>
      </c>
      <c r="E30" s="163">
        <v>48460</v>
      </c>
      <c r="F30" s="124">
        <v>2</v>
      </c>
      <c r="G30" s="254">
        <v>144000</v>
      </c>
      <c r="H30" s="163">
        <v>126580</v>
      </c>
      <c r="I30" s="124">
        <v>0</v>
      </c>
      <c r="J30" s="253">
        <v>145700</v>
      </c>
      <c r="K30" s="163">
        <v>119960</v>
      </c>
      <c r="L30" s="124">
        <v>0</v>
      </c>
      <c r="M30" s="163">
        <v>115600</v>
      </c>
      <c r="N30" s="163">
        <v>96800</v>
      </c>
      <c r="O30" s="124">
        <v>0</v>
      </c>
      <c r="P30" s="163">
        <v>80000</v>
      </c>
      <c r="Q30" s="163">
        <v>68500</v>
      </c>
      <c r="R30" s="124">
        <v>0</v>
      </c>
      <c r="S30" s="163">
        <v>32000</v>
      </c>
      <c r="T30" s="163">
        <v>42200</v>
      </c>
      <c r="U30" s="124">
        <v>0</v>
      </c>
      <c r="V30" s="163">
        <v>54000</v>
      </c>
      <c r="W30" s="163">
        <v>71140</v>
      </c>
      <c r="X30" s="124">
        <v>0</v>
      </c>
      <c r="Y30" s="163">
        <v>76000</v>
      </c>
      <c r="Z30" s="163">
        <v>45400</v>
      </c>
      <c r="AA30" s="115">
        <v>2</v>
      </c>
      <c r="AB30" s="163">
        <v>63900</v>
      </c>
      <c r="AC30" s="163">
        <v>29400</v>
      </c>
      <c r="AD30" s="124">
        <v>2</v>
      </c>
      <c r="AE30" s="163">
        <v>36300</v>
      </c>
      <c r="AF30" s="163">
        <v>60000</v>
      </c>
      <c r="AG30" s="126">
        <v>0</v>
      </c>
      <c r="AH30" s="231">
        <f>+Janvier!AJ30</f>
        <v>84811.691250000003</v>
      </c>
      <c r="AI30" s="231">
        <f>+Janvier!AK30</f>
        <v>294602.45192307694</v>
      </c>
      <c r="AJ30" s="231">
        <f>+Janvier!AL30</f>
        <v>196205.23298076927</v>
      </c>
      <c r="AK30" s="231">
        <f>+Janvier!AM30</f>
        <v>196205.23298076927</v>
      </c>
      <c r="AL30" s="231">
        <f>+Janvier!AN30</f>
        <v>123733.02980769234</v>
      </c>
      <c r="AM30" s="231">
        <f>+Janvier!AO30</f>
        <v>73650.612980769234</v>
      </c>
      <c r="AN30" s="231">
        <f>+Janvier!AP30</f>
        <v>147301.22596153847</v>
      </c>
      <c r="AO30" s="231">
        <f>+Janvier!AQ30</f>
        <v>73650.612980769234</v>
      </c>
      <c r="AP30" s="231">
        <f>+Janvier!AR30</f>
        <v>73650.612980769234</v>
      </c>
      <c r="AQ30" s="231">
        <f>+Janvier!AS30</f>
        <v>131665.70250000001</v>
      </c>
      <c r="AR30" s="90">
        <f>ROUND(E30/(AH30/15),0)</f>
        <v>9</v>
      </c>
      <c r="AS30" s="90">
        <f t="shared" ref="AS30" si="50">ROUND(H30/(AI30/15),0)</f>
        <v>6</v>
      </c>
      <c r="AT30" s="90">
        <f t="shared" ref="AT30" si="51">ROUND(K30/(AJ30/15),0)</f>
        <v>9</v>
      </c>
      <c r="AU30" s="90">
        <f t="shared" ref="AU30" si="52">ROUND(N30/(AK30/15),0)</f>
        <v>7</v>
      </c>
      <c r="AV30" s="90">
        <f t="shared" ref="AV30" si="53">ROUND(Q30/(AL30/15),0)</f>
        <v>8</v>
      </c>
      <c r="AW30" s="90">
        <f t="shared" ref="AW30" si="54">ROUND(T30/(AM30/15),0)</f>
        <v>9</v>
      </c>
      <c r="AX30" s="90">
        <f t="shared" ref="AX30" si="55">ROUND(W30/(AN30/15),0)</f>
        <v>7</v>
      </c>
      <c r="AY30" s="90">
        <f t="shared" ref="AY30" si="56">ROUND(Z30/(AO30/15),0)</f>
        <v>9</v>
      </c>
      <c r="AZ30" s="90">
        <f t="shared" ref="AZ30" si="57">ROUND(AC30/(AP30/15),0)</f>
        <v>6</v>
      </c>
      <c r="BA30" s="91">
        <f t="shared" ref="BA30" si="58">ROUND(AF30/(AQ30/15),0)</f>
        <v>7</v>
      </c>
    </row>
    <row r="31" spans="1:53" ht="15" thickBot="1" x14ac:dyDescent="0.35">
      <c r="A31" s="184" t="s">
        <v>35</v>
      </c>
      <c r="B31" s="160">
        <v>43983</v>
      </c>
      <c r="C31" s="94">
        <v>44012</v>
      </c>
      <c r="D31" s="106">
        <v>2000</v>
      </c>
      <c r="E31" s="106">
        <v>0</v>
      </c>
      <c r="F31" s="97">
        <v>7</v>
      </c>
      <c r="G31" s="116">
        <v>7660</v>
      </c>
      <c r="H31" s="106">
        <v>3560</v>
      </c>
      <c r="I31" s="97">
        <v>0</v>
      </c>
      <c r="J31" s="236">
        <v>5350</v>
      </c>
      <c r="K31" s="106">
        <v>1890</v>
      </c>
      <c r="L31" s="97">
        <v>0</v>
      </c>
      <c r="M31" s="106">
        <v>5240</v>
      </c>
      <c r="N31" s="106">
        <v>1868</v>
      </c>
      <c r="O31" s="97">
        <v>0</v>
      </c>
      <c r="P31" s="106">
        <v>3412</v>
      </c>
      <c r="Q31" s="106">
        <v>1015</v>
      </c>
      <c r="R31" s="97">
        <v>0</v>
      </c>
      <c r="S31" s="106">
        <v>1950</v>
      </c>
      <c r="T31" s="106">
        <v>760</v>
      </c>
      <c r="U31" s="97">
        <v>0</v>
      </c>
      <c r="V31" s="106">
        <v>4120</v>
      </c>
      <c r="W31" s="106">
        <v>1740</v>
      </c>
      <c r="X31" s="97">
        <v>0</v>
      </c>
      <c r="Y31" s="106">
        <v>2000</v>
      </c>
      <c r="Z31" s="106">
        <v>0</v>
      </c>
      <c r="AA31" s="100">
        <v>7</v>
      </c>
      <c r="AB31" s="106">
        <v>3000</v>
      </c>
      <c r="AC31" s="106">
        <v>210</v>
      </c>
      <c r="AD31" s="97">
        <v>0</v>
      </c>
      <c r="AE31" s="106">
        <v>3640</v>
      </c>
      <c r="AF31" s="106">
        <v>1770</v>
      </c>
      <c r="AG31" s="105">
        <v>0</v>
      </c>
      <c r="AH31" s="231">
        <f>+Janvier!AJ31</f>
        <v>2028.8324175824175</v>
      </c>
      <c r="AI31" s="231">
        <f>+Janvier!AK31</f>
        <v>6311.9230769230771</v>
      </c>
      <c r="AJ31" s="231">
        <f>+Janvier!AL31</f>
        <v>4733.9423076923076</v>
      </c>
      <c r="AK31" s="231">
        <f>+Janvier!AM31</f>
        <v>4733.9423076923076</v>
      </c>
      <c r="AL31" s="231">
        <f>+Janvier!AN31</f>
        <v>2869.0559440559441</v>
      </c>
      <c r="AM31" s="231">
        <f>+Janvier!AO31</f>
        <v>1775.2283653846155</v>
      </c>
      <c r="AN31" s="231">
        <f>+Janvier!AP31</f>
        <v>3550.4567307692309</v>
      </c>
      <c r="AO31" s="231">
        <f>+Janvier!AQ31</f>
        <v>1775.2283653846155</v>
      </c>
      <c r="AP31" s="231">
        <f>+Janvier!AR31</f>
        <v>1775.2283653846155</v>
      </c>
      <c r="AQ31" s="231">
        <f>+Janvier!AS31</f>
        <v>3155.9615384615386</v>
      </c>
      <c r="AR31" s="16">
        <f t="shared" ref="AR31:AR39" si="59">ROUND(E31/(AH31/5),0)</f>
        <v>0</v>
      </c>
      <c r="AS31" s="16">
        <f t="shared" ref="AS31:AS39" si="60">ROUND(H31/(AI31/5),0)</f>
        <v>3</v>
      </c>
      <c r="AT31" s="16">
        <f t="shared" ref="AT31:AT39" si="61">ROUND(K31/(AJ31/5),0)</f>
        <v>2</v>
      </c>
      <c r="AU31" s="16">
        <f t="shared" ref="AU31:AU39" si="62">ROUND(N31/(AK31/5),0)</f>
        <v>2</v>
      </c>
      <c r="AV31" s="16">
        <f t="shared" ref="AV31:AV39" si="63">ROUND(Q31/(AL31/5),0)</f>
        <v>2</v>
      </c>
      <c r="AW31" s="16">
        <f t="shared" ref="AW31:AW39" si="64">ROUND(T31/(AM31/5),0)</f>
        <v>2</v>
      </c>
      <c r="AX31" s="16">
        <f t="shared" ref="AX31:AX39" si="65">ROUND(W31/(AN31/5),0)</f>
        <v>2</v>
      </c>
      <c r="AY31" s="16">
        <f t="shared" ref="AY31:AY39" si="66">ROUND(Z31/(AO31/5),0)</f>
        <v>0</v>
      </c>
      <c r="AZ31" s="16">
        <f t="shared" ref="AZ31:AZ39" si="67">ROUND(AC31/(AP31/5),0)</f>
        <v>1</v>
      </c>
      <c r="BA31" s="17">
        <f t="shared" ref="BA31:BA39" si="68">ROUND(AF31/(AQ31/5),0)</f>
        <v>3</v>
      </c>
    </row>
    <row r="32" spans="1:53" ht="15" thickBot="1" x14ac:dyDescent="0.35">
      <c r="A32" s="184" t="s">
        <v>36</v>
      </c>
      <c r="B32" s="160">
        <v>43983</v>
      </c>
      <c r="C32" s="94">
        <v>44012</v>
      </c>
      <c r="D32" s="106">
        <v>520</v>
      </c>
      <c r="E32" s="96">
        <v>140</v>
      </c>
      <c r="F32" s="97">
        <v>0</v>
      </c>
      <c r="G32" s="116">
        <v>600</v>
      </c>
      <c r="H32" s="96">
        <v>400</v>
      </c>
      <c r="I32" s="97">
        <v>0</v>
      </c>
      <c r="J32" s="236">
        <v>770</v>
      </c>
      <c r="K32" s="96">
        <v>530</v>
      </c>
      <c r="L32" s="97">
        <v>0</v>
      </c>
      <c r="M32" s="106">
        <v>924</v>
      </c>
      <c r="N32" s="96">
        <v>764</v>
      </c>
      <c r="O32" s="97">
        <v>0</v>
      </c>
      <c r="P32" s="106">
        <v>800</v>
      </c>
      <c r="Q32" s="96">
        <v>600</v>
      </c>
      <c r="R32" s="97">
        <v>0</v>
      </c>
      <c r="S32" s="106">
        <v>420</v>
      </c>
      <c r="T32" s="96">
        <v>190</v>
      </c>
      <c r="U32" s="97">
        <v>0</v>
      </c>
      <c r="V32" s="106">
        <v>890</v>
      </c>
      <c r="W32" s="96">
        <v>490</v>
      </c>
      <c r="X32" s="97">
        <v>0</v>
      </c>
      <c r="Y32" s="106">
        <v>400</v>
      </c>
      <c r="Z32" s="96">
        <v>40</v>
      </c>
      <c r="AA32" s="100">
        <v>0</v>
      </c>
      <c r="AB32" s="106">
        <v>400</v>
      </c>
      <c r="AC32" s="96">
        <v>40</v>
      </c>
      <c r="AD32" s="97">
        <v>0</v>
      </c>
      <c r="AE32" s="106">
        <v>440</v>
      </c>
      <c r="AF32" s="96">
        <v>320</v>
      </c>
      <c r="AG32" s="105">
        <v>0</v>
      </c>
      <c r="AH32" s="231">
        <f>+Janvier!AJ32</f>
        <v>431.0851648351649</v>
      </c>
      <c r="AI32" s="231">
        <f>+Janvier!AK32</f>
        <v>1341.1538461538464</v>
      </c>
      <c r="AJ32" s="231">
        <f>+Janvier!AL32</f>
        <v>1005.8653846153848</v>
      </c>
      <c r="AK32" s="231">
        <f>+Janvier!AM32</f>
        <v>1005.8653846153848</v>
      </c>
      <c r="AL32" s="231">
        <f>+Janvier!AN32</f>
        <v>609.61538461538464</v>
      </c>
      <c r="AM32" s="231">
        <f>+Janvier!AO32</f>
        <v>377.19951923076917</v>
      </c>
      <c r="AN32" s="231">
        <f>+Janvier!AP32</f>
        <v>754.39903846153834</v>
      </c>
      <c r="AO32" s="231">
        <f>+Janvier!AQ32</f>
        <v>377.19951923076917</v>
      </c>
      <c r="AP32" s="231">
        <f>+Janvier!AR32</f>
        <v>377.19951923076917</v>
      </c>
      <c r="AQ32" s="231">
        <f>+Janvier!AS32</f>
        <v>670.57692307692321</v>
      </c>
      <c r="AR32" s="16">
        <f t="shared" si="59"/>
        <v>2</v>
      </c>
      <c r="AS32" s="16">
        <f t="shared" si="60"/>
        <v>1</v>
      </c>
      <c r="AT32" s="16">
        <f t="shared" si="61"/>
        <v>3</v>
      </c>
      <c r="AU32" s="16">
        <f t="shared" si="62"/>
        <v>4</v>
      </c>
      <c r="AV32" s="16">
        <f t="shared" si="63"/>
        <v>5</v>
      </c>
      <c r="AW32" s="16">
        <f t="shared" si="64"/>
        <v>3</v>
      </c>
      <c r="AX32" s="16">
        <f t="shared" si="65"/>
        <v>3</v>
      </c>
      <c r="AY32" s="16">
        <f t="shared" si="66"/>
        <v>1</v>
      </c>
      <c r="AZ32" s="16">
        <f t="shared" si="67"/>
        <v>1</v>
      </c>
      <c r="BA32" s="17">
        <f t="shared" si="68"/>
        <v>2</v>
      </c>
    </row>
    <row r="33" spans="1:53" ht="15" thickBot="1" x14ac:dyDescent="0.35">
      <c r="A33" s="184" t="s">
        <v>37</v>
      </c>
      <c r="B33" s="160">
        <v>43983</v>
      </c>
      <c r="C33" s="94">
        <v>44012</v>
      </c>
      <c r="D33" s="106">
        <v>5000</v>
      </c>
      <c r="E33" s="106">
        <v>1400</v>
      </c>
      <c r="F33" s="97">
        <v>10</v>
      </c>
      <c r="G33" s="116">
        <v>16000</v>
      </c>
      <c r="H33" s="106">
        <v>12900</v>
      </c>
      <c r="I33" s="97">
        <v>0</v>
      </c>
      <c r="J33" s="236">
        <v>12000</v>
      </c>
      <c r="K33" s="106">
        <v>6500</v>
      </c>
      <c r="L33" s="97">
        <v>0</v>
      </c>
      <c r="M33" s="106">
        <v>12000</v>
      </c>
      <c r="N33" s="106">
        <v>5840</v>
      </c>
      <c r="O33" s="97">
        <v>0</v>
      </c>
      <c r="P33" s="106">
        <v>7650</v>
      </c>
      <c r="Q33" s="106">
        <v>2985</v>
      </c>
      <c r="R33" s="97">
        <v>0</v>
      </c>
      <c r="S33" s="106">
        <v>4400</v>
      </c>
      <c r="T33" s="106">
        <v>2820</v>
      </c>
      <c r="U33" s="97">
        <v>0</v>
      </c>
      <c r="V33" s="106">
        <v>9500</v>
      </c>
      <c r="W33" s="106">
        <v>7540</v>
      </c>
      <c r="X33" s="97">
        <v>0</v>
      </c>
      <c r="Y33" s="106">
        <v>5000</v>
      </c>
      <c r="Z33" s="106">
        <v>1030</v>
      </c>
      <c r="AA33" s="100">
        <v>6</v>
      </c>
      <c r="AB33" s="106">
        <v>5000</v>
      </c>
      <c r="AC33" s="106">
        <v>620</v>
      </c>
      <c r="AD33" s="97">
        <v>6</v>
      </c>
      <c r="AE33" s="106">
        <v>8300</v>
      </c>
      <c r="AF33" s="106">
        <v>6100</v>
      </c>
      <c r="AG33" s="105">
        <v>0</v>
      </c>
      <c r="AH33" s="231">
        <f>+Janvier!AJ33</f>
        <v>5199.2307692307695</v>
      </c>
      <c r="AI33" s="231">
        <f>+Janvier!AK33</f>
        <v>16175.384615384613</v>
      </c>
      <c r="AJ33" s="231">
        <f>+Janvier!AL33</f>
        <v>12131.538461538461</v>
      </c>
      <c r="AK33" s="231">
        <f>+Janvier!AM33</f>
        <v>12131.538461538461</v>
      </c>
      <c r="AL33" s="231">
        <f>+Janvier!AN33</f>
        <v>7352.4475524475547</v>
      </c>
      <c r="AM33" s="231">
        <f>+Janvier!AO33</f>
        <v>4549.3269230769229</v>
      </c>
      <c r="AN33" s="231">
        <f>+Janvier!AP33</f>
        <v>9098.6538461538457</v>
      </c>
      <c r="AO33" s="231">
        <f>+Janvier!AQ33</f>
        <v>4549.3269230769229</v>
      </c>
      <c r="AP33" s="231">
        <f>+Janvier!AR33</f>
        <v>4549.3269230769229</v>
      </c>
      <c r="AQ33" s="231">
        <f>+Janvier!AS33</f>
        <v>8087.6923076923067</v>
      </c>
      <c r="AR33" s="16">
        <f t="shared" si="59"/>
        <v>1</v>
      </c>
      <c r="AS33" s="16">
        <f t="shared" si="60"/>
        <v>4</v>
      </c>
      <c r="AT33" s="16">
        <f t="shared" si="61"/>
        <v>3</v>
      </c>
      <c r="AU33" s="16">
        <f t="shared" si="62"/>
        <v>2</v>
      </c>
      <c r="AV33" s="16">
        <f t="shared" si="63"/>
        <v>2</v>
      </c>
      <c r="AW33" s="16">
        <f t="shared" si="64"/>
        <v>3</v>
      </c>
      <c r="AX33" s="16">
        <f t="shared" si="65"/>
        <v>4</v>
      </c>
      <c r="AY33" s="16">
        <f t="shared" si="66"/>
        <v>1</v>
      </c>
      <c r="AZ33" s="16">
        <f t="shared" si="67"/>
        <v>1</v>
      </c>
      <c r="BA33" s="17">
        <f t="shared" si="68"/>
        <v>4</v>
      </c>
    </row>
    <row r="34" spans="1:53" ht="15" thickBot="1" x14ac:dyDescent="0.35">
      <c r="A34" s="184" t="s">
        <v>38</v>
      </c>
      <c r="B34" s="160">
        <v>43983</v>
      </c>
      <c r="C34" s="94">
        <v>44012</v>
      </c>
      <c r="D34" s="106">
        <v>1600</v>
      </c>
      <c r="E34" s="106">
        <v>780</v>
      </c>
      <c r="F34" s="97">
        <v>0</v>
      </c>
      <c r="G34" s="116">
        <v>5800</v>
      </c>
      <c r="H34" s="106">
        <v>2000</v>
      </c>
      <c r="I34" s="97">
        <v>0</v>
      </c>
      <c r="J34" s="236">
        <v>2930</v>
      </c>
      <c r="K34" s="106">
        <v>2300</v>
      </c>
      <c r="L34" s="97">
        <v>0</v>
      </c>
      <c r="M34" s="106">
        <v>2860</v>
      </c>
      <c r="N34" s="106">
        <v>1800</v>
      </c>
      <c r="O34" s="97">
        <v>0</v>
      </c>
      <c r="P34" s="106">
        <v>2915</v>
      </c>
      <c r="Q34" s="106">
        <v>1450</v>
      </c>
      <c r="R34" s="97">
        <v>0</v>
      </c>
      <c r="S34" s="106">
        <v>1990</v>
      </c>
      <c r="T34" s="106">
        <v>740</v>
      </c>
      <c r="U34" s="97">
        <v>0</v>
      </c>
      <c r="V34" s="106">
        <v>2070</v>
      </c>
      <c r="W34" s="106">
        <v>1400</v>
      </c>
      <c r="X34" s="97">
        <v>0</v>
      </c>
      <c r="Y34" s="106">
        <v>1000</v>
      </c>
      <c r="Z34" s="106">
        <v>400</v>
      </c>
      <c r="AA34" s="100">
        <v>0</v>
      </c>
      <c r="AB34" s="106">
        <v>1100</v>
      </c>
      <c r="AC34" s="106">
        <v>400</v>
      </c>
      <c r="AD34" s="97">
        <v>0</v>
      </c>
      <c r="AE34" s="106">
        <v>2020</v>
      </c>
      <c r="AF34" s="106">
        <v>1440</v>
      </c>
      <c r="AG34" s="105">
        <v>0</v>
      </c>
      <c r="AH34" s="231">
        <f>+Janvier!AJ34</f>
        <v>1323.9148351648353</v>
      </c>
      <c r="AI34" s="231">
        <f>+Janvier!AK34</f>
        <v>4118.8461538461534</v>
      </c>
      <c r="AJ34" s="231">
        <f>+Janvier!AL34</f>
        <v>3089.1346153846152</v>
      </c>
      <c r="AK34" s="231">
        <f>+Janvier!AM34</f>
        <v>3089.1346153846152</v>
      </c>
      <c r="AL34" s="231">
        <f>+Janvier!AN34</f>
        <v>1872.2027972027972</v>
      </c>
      <c r="AM34" s="231">
        <f>+Janvier!AO34</f>
        <v>1158.4254807692307</v>
      </c>
      <c r="AN34" s="231">
        <f>+Janvier!AP34</f>
        <v>2316.8509615384614</v>
      </c>
      <c r="AO34" s="231">
        <f>+Janvier!AQ34</f>
        <v>1158.4254807692307</v>
      </c>
      <c r="AP34" s="231">
        <f>+Janvier!AR34</f>
        <v>1158.4254807692307</v>
      </c>
      <c r="AQ34" s="231">
        <f>+Janvier!AS34</f>
        <v>2059.4230769230767</v>
      </c>
      <c r="AR34" s="16">
        <f t="shared" si="59"/>
        <v>3</v>
      </c>
      <c r="AS34" s="16">
        <f t="shared" si="60"/>
        <v>2</v>
      </c>
      <c r="AT34" s="16">
        <f t="shared" si="61"/>
        <v>4</v>
      </c>
      <c r="AU34" s="16">
        <f t="shared" si="62"/>
        <v>3</v>
      </c>
      <c r="AV34" s="16">
        <f t="shared" si="63"/>
        <v>4</v>
      </c>
      <c r="AW34" s="16">
        <f t="shared" si="64"/>
        <v>3</v>
      </c>
      <c r="AX34" s="16">
        <f t="shared" si="65"/>
        <v>3</v>
      </c>
      <c r="AY34" s="16">
        <f t="shared" si="66"/>
        <v>2</v>
      </c>
      <c r="AZ34" s="16">
        <f t="shared" si="67"/>
        <v>2</v>
      </c>
      <c r="BA34" s="17">
        <f t="shared" si="68"/>
        <v>3</v>
      </c>
    </row>
    <row r="35" spans="1:53" ht="15" thickBot="1" x14ac:dyDescent="0.35">
      <c r="A35" s="184" t="s">
        <v>39</v>
      </c>
      <c r="B35" s="160">
        <v>43983</v>
      </c>
      <c r="C35" s="94">
        <v>44012</v>
      </c>
      <c r="D35" s="106">
        <v>5000</v>
      </c>
      <c r="E35" s="106">
        <v>0</v>
      </c>
      <c r="F35" s="97">
        <v>4</v>
      </c>
      <c r="G35" s="116">
        <v>18140</v>
      </c>
      <c r="H35" s="106">
        <v>7720</v>
      </c>
      <c r="I35" s="97">
        <v>0</v>
      </c>
      <c r="J35" s="236">
        <v>12440</v>
      </c>
      <c r="K35" s="106">
        <v>4610</v>
      </c>
      <c r="L35" s="97">
        <v>0</v>
      </c>
      <c r="M35" s="106">
        <v>10676</v>
      </c>
      <c r="N35" s="106">
        <v>3608</v>
      </c>
      <c r="O35" s="97">
        <v>0</v>
      </c>
      <c r="P35" s="106">
        <v>8983</v>
      </c>
      <c r="Q35" s="106">
        <v>3502</v>
      </c>
      <c r="R35" s="97">
        <v>0</v>
      </c>
      <c r="S35" s="106">
        <v>3560</v>
      </c>
      <c r="T35" s="106">
        <v>1160</v>
      </c>
      <c r="U35" s="97">
        <v>0</v>
      </c>
      <c r="V35" s="106">
        <v>9180</v>
      </c>
      <c r="W35" s="106">
        <v>4070</v>
      </c>
      <c r="X35" s="97">
        <v>0</v>
      </c>
      <c r="Y35" s="106">
        <v>4000</v>
      </c>
      <c r="Z35" s="106">
        <v>0</v>
      </c>
      <c r="AA35" s="100">
        <v>6</v>
      </c>
      <c r="AB35" s="106">
        <v>4000</v>
      </c>
      <c r="AC35" s="106">
        <v>100</v>
      </c>
      <c r="AD35" s="97">
        <v>0</v>
      </c>
      <c r="AE35" s="106">
        <v>8160</v>
      </c>
      <c r="AF35" s="106">
        <v>5330</v>
      </c>
      <c r="AG35" s="105">
        <v>0</v>
      </c>
      <c r="AH35" s="231">
        <f>+Janvier!AJ35</f>
        <v>4319.1346153846152</v>
      </c>
      <c r="AI35" s="231">
        <f>+Janvier!AK35</f>
        <v>13437.307692307693</v>
      </c>
      <c r="AJ35" s="231">
        <f>+Janvier!AL35</f>
        <v>10077.98076923077</v>
      </c>
      <c r="AK35" s="231">
        <f>+Janvier!AM35</f>
        <v>10077.98076923077</v>
      </c>
      <c r="AL35" s="231">
        <f>+Janvier!AN35</f>
        <v>6107.8671328671326</v>
      </c>
      <c r="AM35" s="231">
        <f>+Janvier!AO35</f>
        <v>3779.2427884615386</v>
      </c>
      <c r="AN35" s="231">
        <f>+Janvier!AP35</f>
        <v>7558.4855769230771</v>
      </c>
      <c r="AO35" s="231">
        <f>+Janvier!AQ35</f>
        <v>3779.2427884615386</v>
      </c>
      <c r="AP35" s="231">
        <f>+Janvier!AR35</f>
        <v>3779.2427884615386</v>
      </c>
      <c r="AQ35" s="231">
        <f>+Janvier!AS35</f>
        <v>6718.6538461538466</v>
      </c>
      <c r="AR35" s="16">
        <f t="shared" si="59"/>
        <v>0</v>
      </c>
      <c r="AS35" s="16">
        <f t="shared" si="60"/>
        <v>3</v>
      </c>
      <c r="AT35" s="16">
        <f t="shared" si="61"/>
        <v>2</v>
      </c>
      <c r="AU35" s="16">
        <f t="shared" si="62"/>
        <v>2</v>
      </c>
      <c r="AV35" s="16">
        <f t="shared" si="63"/>
        <v>3</v>
      </c>
      <c r="AW35" s="16">
        <f t="shared" si="64"/>
        <v>2</v>
      </c>
      <c r="AX35" s="16">
        <f t="shared" si="65"/>
        <v>3</v>
      </c>
      <c r="AY35" s="16">
        <f t="shared" si="66"/>
        <v>0</v>
      </c>
      <c r="AZ35" s="16">
        <f t="shared" si="67"/>
        <v>0</v>
      </c>
      <c r="BA35" s="17">
        <f t="shared" si="68"/>
        <v>4</v>
      </c>
    </row>
    <row r="36" spans="1:53" ht="15" thickBot="1" x14ac:dyDescent="0.35">
      <c r="A36" s="184" t="s">
        <v>40</v>
      </c>
      <c r="B36" s="160">
        <v>43983</v>
      </c>
      <c r="C36" s="94">
        <v>44012</v>
      </c>
      <c r="D36" s="106">
        <v>5960</v>
      </c>
      <c r="E36" s="106">
        <v>1480</v>
      </c>
      <c r="F36" s="97">
        <v>0</v>
      </c>
      <c r="G36" s="116">
        <v>18300</v>
      </c>
      <c r="H36" s="106">
        <v>8360</v>
      </c>
      <c r="I36" s="97">
        <v>0</v>
      </c>
      <c r="J36" s="236">
        <v>12660</v>
      </c>
      <c r="K36" s="106">
        <v>4640</v>
      </c>
      <c r="L36" s="97">
        <v>0</v>
      </c>
      <c r="M36" s="106">
        <v>12300</v>
      </c>
      <c r="N36" s="106">
        <v>4900</v>
      </c>
      <c r="O36" s="97">
        <v>0</v>
      </c>
      <c r="P36" s="106">
        <v>8450</v>
      </c>
      <c r="Q36" s="106">
        <v>3600</v>
      </c>
      <c r="R36" s="97">
        <v>0</v>
      </c>
      <c r="S36" s="106">
        <v>4550</v>
      </c>
      <c r="T36" s="106">
        <v>2170</v>
      </c>
      <c r="U36" s="97">
        <v>0</v>
      </c>
      <c r="V36" s="106">
        <v>9900</v>
      </c>
      <c r="W36" s="106">
        <v>4140</v>
      </c>
      <c r="X36" s="97">
        <v>0</v>
      </c>
      <c r="Y36" s="106">
        <v>6040</v>
      </c>
      <c r="Z36" s="106">
        <v>2210</v>
      </c>
      <c r="AA36" s="100">
        <v>0</v>
      </c>
      <c r="AB36" s="106">
        <v>6500</v>
      </c>
      <c r="AC36" s="106">
        <v>1930</v>
      </c>
      <c r="AD36" s="97">
        <v>4</v>
      </c>
      <c r="AE36" s="106">
        <v>6980</v>
      </c>
      <c r="AF36" s="106">
        <v>3770</v>
      </c>
      <c r="AG36" s="105">
        <v>0</v>
      </c>
      <c r="AH36" s="231">
        <f>+Janvier!AJ36</f>
        <v>3701.7445054945065</v>
      </c>
      <c r="AI36" s="231">
        <f>+Janvier!AK36</f>
        <v>11516.538461538461</v>
      </c>
      <c r="AJ36" s="231">
        <f>+Janvier!AL36</f>
        <v>8637.4038461538476</v>
      </c>
      <c r="AK36" s="231">
        <f>+Janvier!AM36</f>
        <v>8637.4038461538476</v>
      </c>
      <c r="AL36" s="231">
        <f>+Janvier!AN36</f>
        <v>5234.7902097902097</v>
      </c>
      <c r="AM36" s="231">
        <f>+Janvier!AO36</f>
        <v>3239.0264423076924</v>
      </c>
      <c r="AN36" s="231">
        <f>+Janvier!AP36</f>
        <v>6478.0528846153848</v>
      </c>
      <c r="AO36" s="231">
        <f>+Janvier!AQ36</f>
        <v>3239.0264423076924</v>
      </c>
      <c r="AP36" s="231">
        <f>+Janvier!AR36</f>
        <v>3239.0264423076924</v>
      </c>
      <c r="AQ36" s="231">
        <f>+Janvier!AS36</f>
        <v>5758.2692307692305</v>
      </c>
      <c r="AR36" s="16">
        <f t="shared" si="59"/>
        <v>2</v>
      </c>
      <c r="AS36" s="16">
        <f t="shared" si="60"/>
        <v>4</v>
      </c>
      <c r="AT36" s="16">
        <f t="shared" si="61"/>
        <v>3</v>
      </c>
      <c r="AU36" s="16">
        <f t="shared" si="62"/>
        <v>3</v>
      </c>
      <c r="AV36" s="16">
        <f t="shared" si="63"/>
        <v>3</v>
      </c>
      <c r="AW36" s="16">
        <f t="shared" si="64"/>
        <v>3</v>
      </c>
      <c r="AX36" s="16">
        <f t="shared" si="65"/>
        <v>3</v>
      </c>
      <c r="AY36" s="16">
        <f t="shared" si="66"/>
        <v>3</v>
      </c>
      <c r="AZ36" s="16">
        <f t="shared" si="67"/>
        <v>3</v>
      </c>
      <c r="BA36" s="17">
        <f t="shared" si="68"/>
        <v>3</v>
      </c>
    </row>
    <row r="37" spans="1:53" ht="15" thickBot="1" x14ac:dyDescent="0.35">
      <c r="A37" s="184" t="s">
        <v>41</v>
      </c>
      <c r="B37" s="160">
        <v>43983</v>
      </c>
      <c r="C37" s="94">
        <v>44012</v>
      </c>
      <c r="D37" s="106">
        <v>4000</v>
      </c>
      <c r="E37" s="106">
        <v>1640</v>
      </c>
      <c r="F37" s="97">
        <v>0</v>
      </c>
      <c r="G37" s="116">
        <v>7700</v>
      </c>
      <c r="H37" s="106">
        <v>3300</v>
      </c>
      <c r="I37" s="97">
        <v>0</v>
      </c>
      <c r="J37" s="236">
        <v>5390</v>
      </c>
      <c r="K37" s="106">
        <v>2210</v>
      </c>
      <c r="L37" s="97">
        <v>0</v>
      </c>
      <c r="M37" s="106">
        <v>5200</v>
      </c>
      <c r="N37" s="106">
        <v>2036</v>
      </c>
      <c r="O37" s="97">
        <v>0</v>
      </c>
      <c r="P37" s="106">
        <v>3600</v>
      </c>
      <c r="Q37" s="106">
        <v>1500</v>
      </c>
      <c r="R37" s="97">
        <v>0</v>
      </c>
      <c r="S37" s="106">
        <v>1560</v>
      </c>
      <c r="T37" s="106">
        <v>650</v>
      </c>
      <c r="U37" s="97">
        <v>0</v>
      </c>
      <c r="V37" s="106">
        <v>4650</v>
      </c>
      <c r="W37" s="106">
        <v>3290</v>
      </c>
      <c r="X37" s="97">
        <v>0</v>
      </c>
      <c r="Y37" s="106">
        <v>2220</v>
      </c>
      <c r="Z37" s="106">
        <v>1010</v>
      </c>
      <c r="AA37" s="100">
        <v>0</v>
      </c>
      <c r="AB37" s="106">
        <v>2300</v>
      </c>
      <c r="AC37" s="106">
        <v>340</v>
      </c>
      <c r="AD37" s="97">
        <v>0</v>
      </c>
      <c r="AE37" s="106">
        <v>3830</v>
      </c>
      <c r="AF37" s="106">
        <v>2870</v>
      </c>
      <c r="AG37" s="105">
        <v>0</v>
      </c>
      <c r="AH37" s="231">
        <f>+Janvier!AJ37</f>
        <v>2204.0109890109893</v>
      </c>
      <c r="AI37" s="231">
        <f>+Janvier!AK37</f>
        <v>6856.9230769230771</v>
      </c>
      <c r="AJ37" s="231">
        <f>+Janvier!AL37</f>
        <v>5142.6923076923085</v>
      </c>
      <c r="AK37" s="231">
        <f>+Janvier!AM37</f>
        <v>5142.6923076923085</v>
      </c>
      <c r="AL37" s="231">
        <f>+Janvier!AN37</f>
        <v>3116.7832167832171</v>
      </c>
      <c r="AM37" s="231">
        <f>+Janvier!AO37</f>
        <v>1928.5096153846155</v>
      </c>
      <c r="AN37" s="231">
        <f>+Janvier!AP37</f>
        <v>3857.0192307692309</v>
      </c>
      <c r="AO37" s="231">
        <f>+Janvier!AQ37</f>
        <v>1928.5096153846155</v>
      </c>
      <c r="AP37" s="231">
        <f>+Janvier!AR37</f>
        <v>1928.5096153846155</v>
      </c>
      <c r="AQ37" s="231">
        <f>+Janvier!AS37</f>
        <v>3428.4615384615386</v>
      </c>
      <c r="AR37" s="16">
        <f t="shared" si="59"/>
        <v>4</v>
      </c>
      <c r="AS37" s="16">
        <f t="shared" si="60"/>
        <v>2</v>
      </c>
      <c r="AT37" s="16">
        <f t="shared" si="61"/>
        <v>2</v>
      </c>
      <c r="AU37" s="16">
        <f t="shared" si="62"/>
        <v>2</v>
      </c>
      <c r="AV37" s="16">
        <f t="shared" si="63"/>
        <v>2</v>
      </c>
      <c r="AW37" s="16">
        <f t="shared" si="64"/>
        <v>2</v>
      </c>
      <c r="AX37" s="16">
        <f t="shared" si="65"/>
        <v>4</v>
      </c>
      <c r="AY37" s="16">
        <f t="shared" si="66"/>
        <v>3</v>
      </c>
      <c r="AZ37" s="16">
        <f t="shared" si="67"/>
        <v>1</v>
      </c>
      <c r="BA37" s="17">
        <f t="shared" si="68"/>
        <v>4</v>
      </c>
    </row>
    <row r="38" spans="1:53" ht="15" thickBot="1" x14ac:dyDescent="0.35">
      <c r="A38" s="184" t="s">
        <v>42</v>
      </c>
      <c r="B38" s="160">
        <v>43983</v>
      </c>
      <c r="C38" s="94">
        <v>44012</v>
      </c>
      <c r="D38" s="106">
        <v>7580</v>
      </c>
      <c r="E38" s="106">
        <v>940</v>
      </c>
      <c r="F38" s="97">
        <v>0</v>
      </c>
      <c r="G38" s="116">
        <v>14660</v>
      </c>
      <c r="H38" s="106">
        <v>4700</v>
      </c>
      <c r="I38" s="97">
        <v>0</v>
      </c>
      <c r="J38" s="236">
        <v>11740</v>
      </c>
      <c r="K38" s="106">
        <v>4010</v>
      </c>
      <c r="L38" s="97">
        <v>0</v>
      </c>
      <c r="M38" s="106">
        <v>8800</v>
      </c>
      <c r="N38" s="106">
        <v>2240</v>
      </c>
      <c r="O38" s="97">
        <v>0</v>
      </c>
      <c r="P38" s="106">
        <v>4650</v>
      </c>
      <c r="Q38" s="106">
        <v>300</v>
      </c>
      <c r="R38" s="97">
        <v>0</v>
      </c>
      <c r="S38" s="106">
        <v>4170</v>
      </c>
      <c r="T38" s="106">
        <v>1180</v>
      </c>
      <c r="U38" s="97">
        <v>0</v>
      </c>
      <c r="V38" s="106">
        <v>9450</v>
      </c>
      <c r="W38" s="106">
        <v>6500</v>
      </c>
      <c r="X38" s="97">
        <v>0</v>
      </c>
      <c r="Y38" s="106">
        <v>6540</v>
      </c>
      <c r="Z38" s="106">
        <v>3100</v>
      </c>
      <c r="AA38" s="100">
        <v>0</v>
      </c>
      <c r="AB38" s="106">
        <v>7000</v>
      </c>
      <c r="AC38" s="106">
        <v>1900</v>
      </c>
      <c r="AD38" s="97">
        <v>0</v>
      </c>
      <c r="AE38" s="106">
        <v>7800</v>
      </c>
      <c r="AF38" s="106">
        <v>3500</v>
      </c>
      <c r="AG38" s="105">
        <v>0</v>
      </c>
      <c r="AH38" s="231">
        <f>+Janvier!AJ38</f>
        <v>4595.1923076923076</v>
      </c>
      <c r="AI38" s="231">
        <f>+Janvier!AK38</f>
        <v>14296.153846153846</v>
      </c>
      <c r="AJ38" s="231">
        <f>+Janvier!AL38</f>
        <v>10722.115384615387</v>
      </c>
      <c r="AK38" s="231">
        <f>+Janvier!AM38</f>
        <v>10722.115384615387</v>
      </c>
      <c r="AL38" s="231">
        <f>+Janvier!AN38</f>
        <v>6498.2517482517496</v>
      </c>
      <c r="AM38" s="231">
        <f>+Janvier!AO38</f>
        <v>4020.7932692307691</v>
      </c>
      <c r="AN38" s="231">
        <f>+Janvier!AP38</f>
        <v>8041.5865384615381</v>
      </c>
      <c r="AO38" s="231">
        <f>+Janvier!AQ38</f>
        <v>4020.7932692307691</v>
      </c>
      <c r="AP38" s="231">
        <f>+Janvier!AR38</f>
        <v>4020.7932692307691</v>
      </c>
      <c r="AQ38" s="231">
        <f>+Janvier!AS38</f>
        <v>7148.0769230769229</v>
      </c>
      <c r="AR38" s="16">
        <f t="shared" si="59"/>
        <v>1</v>
      </c>
      <c r="AS38" s="16">
        <f t="shared" si="60"/>
        <v>2</v>
      </c>
      <c r="AT38" s="16">
        <f t="shared" si="61"/>
        <v>2</v>
      </c>
      <c r="AU38" s="16">
        <f t="shared" si="62"/>
        <v>1</v>
      </c>
      <c r="AV38" s="16">
        <f t="shared" si="63"/>
        <v>0</v>
      </c>
      <c r="AW38" s="16">
        <f t="shared" si="64"/>
        <v>1</v>
      </c>
      <c r="AX38" s="16">
        <f t="shared" si="65"/>
        <v>4</v>
      </c>
      <c r="AY38" s="16">
        <f t="shared" si="66"/>
        <v>4</v>
      </c>
      <c r="AZ38" s="16">
        <f t="shared" si="67"/>
        <v>2</v>
      </c>
      <c r="BA38" s="17">
        <f t="shared" si="68"/>
        <v>2</v>
      </c>
    </row>
    <row r="39" spans="1:53" ht="15" thickBot="1" x14ac:dyDescent="0.35">
      <c r="A39" s="121" t="s">
        <v>43</v>
      </c>
      <c r="B39" s="160">
        <v>43983</v>
      </c>
      <c r="C39" s="143">
        <v>44012</v>
      </c>
      <c r="D39" s="145">
        <v>4300</v>
      </c>
      <c r="E39" s="145">
        <v>20</v>
      </c>
      <c r="F39" s="110">
        <v>0</v>
      </c>
      <c r="G39" s="147">
        <v>14000</v>
      </c>
      <c r="H39" s="145">
        <v>4660</v>
      </c>
      <c r="I39" s="110">
        <v>0</v>
      </c>
      <c r="J39" s="238">
        <v>5300</v>
      </c>
      <c r="K39" s="145">
        <v>2290</v>
      </c>
      <c r="L39" s="110">
        <v>0</v>
      </c>
      <c r="M39" s="145">
        <v>6400</v>
      </c>
      <c r="N39" s="145">
        <v>3464</v>
      </c>
      <c r="O39" s="110">
        <v>0</v>
      </c>
      <c r="P39" s="145">
        <v>3850</v>
      </c>
      <c r="Q39" s="145">
        <v>2050</v>
      </c>
      <c r="R39" s="110">
        <v>0</v>
      </c>
      <c r="S39" s="145">
        <v>2010</v>
      </c>
      <c r="T39" s="145">
        <v>1310</v>
      </c>
      <c r="U39" s="110">
        <v>0</v>
      </c>
      <c r="V39" s="145">
        <v>12120</v>
      </c>
      <c r="W39" s="145">
        <v>4350</v>
      </c>
      <c r="X39" s="110">
        <v>0</v>
      </c>
      <c r="Y39" s="145">
        <v>3000</v>
      </c>
      <c r="Z39" s="145">
        <v>1370</v>
      </c>
      <c r="AA39" s="162">
        <v>0</v>
      </c>
      <c r="AB39" s="145">
        <v>4000</v>
      </c>
      <c r="AC39" s="145">
        <v>90</v>
      </c>
      <c r="AD39" s="110">
        <v>0</v>
      </c>
      <c r="AE39" s="145">
        <v>5710</v>
      </c>
      <c r="AF39" s="145">
        <v>3930</v>
      </c>
      <c r="AG39" s="112">
        <v>0</v>
      </c>
      <c r="AH39" s="231">
        <f>+Janvier!AJ39</f>
        <v>4254.2307692307695</v>
      </c>
      <c r="AI39" s="231">
        <f>+Janvier!AK39</f>
        <v>13235.384615384613</v>
      </c>
      <c r="AJ39" s="231">
        <f>+Janvier!AL39</f>
        <v>9926.538461538461</v>
      </c>
      <c r="AK39" s="231">
        <f>+Janvier!AM39</f>
        <v>9926.538461538461</v>
      </c>
      <c r="AL39" s="231">
        <f>+Janvier!AN39</f>
        <v>6016.0839160839159</v>
      </c>
      <c r="AM39" s="231">
        <f>+Janvier!AO39</f>
        <v>3722.4519230769233</v>
      </c>
      <c r="AN39" s="231">
        <f>+Janvier!AP39</f>
        <v>7444.9038461538466</v>
      </c>
      <c r="AO39" s="231">
        <f>+Janvier!AQ39</f>
        <v>3722.4519230769233</v>
      </c>
      <c r="AP39" s="231">
        <f>+Janvier!AR39</f>
        <v>3722.4519230769233</v>
      </c>
      <c r="AQ39" s="231">
        <f>+Janvier!AS39</f>
        <v>6617.6923076923067</v>
      </c>
      <c r="AR39" s="32">
        <f t="shared" si="59"/>
        <v>0</v>
      </c>
      <c r="AS39" s="32">
        <f t="shared" si="60"/>
        <v>2</v>
      </c>
      <c r="AT39" s="32">
        <f t="shared" si="61"/>
        <v>1</v>
      </c>
      <c r="AU39" s="32">
        <f t="shared" si="62"/>
        <v>2</v>
      </c>
      <c r="AV39" s="32">
        <f t="shared" si="63"/>
        <v>2</v>
      </c>
      <c r="AW39" s="32">
        <f t="shared" si="64"/>
        <v>2</v>
      </c>
      <c r="AX39" s="32">
        <f t="shared" si="65"/>
        <v>3</v>
      </c>
      <c r="AY39" s="32">
        <f t="shared" si="66"/>
        <v>2</v>
      </c>
      <c r="AZ39" s="32">
        <f t="shared" si="67"/>
        <v>0</v>
      </c>
      <c r="BA39" s="33">
        <f t="shared" si="68"/>
        <v>3</v>
      </c>
    </row>
    <row r="40" spans="1:53" ht="15.6" x14ac:dyDescent="0.3">
      <c r="A40" s="198" t="s">
        <v>88</v>
      </c>
      <c r="B40" s="160">
        <v>43983</v>
      </c>
      <c r="C40" s="160">
        <v>44012</v>
      </c>
      <c r="D40" s="122">
        <v>0</v>
      </c>
      <c r="E40" s="123">
        <v>13180</v>
      </c>
      <c r="F40" s="124">
        <v>0</v>
      </c>
      <c r="G40" s="125">
        <v>0</v>
      </c>
      <c r="H40" s="123">
        <v>120940</v>
      </c>
      <c r="I40" s="126">
        <v>0</v>
      </c>
      <c r="J40" s="125">
        <v>0</v>
      </c>
      <c r="K40" s="123">
        <v>51290</v>
      </c>
      <c r="L40" s="124">
        <v>0</v>
      </c>
      <c r="M40" s="125">
        <v>0</v>
      </c>
      <c r="N40" s="123">
        <v>45496</v>
      </c>
      <c r="O40" s="124">
        <v>0</v>
      </c>
      <c r="P40" s="125">
        <v>0</v>
      </c>
      <c r="Q40" s="123">
        <v>32850</v>
      </c>
      <c r="R40" s="124">
        <v>0</v>
      </c>
      <c r="S40" s="125">
        <v>0</v>
      </c>
      <c r="T40" s="123">
        <v>15635</v>
      </c>
      <c r="U40" s="124">
        <v>0</v>
      </c>
      <c r="V40" s="125">
        <v>0</v>
      </c>
      <c r="W40" s="123">
        <v>64570</v>
      </c>
      <c r="X40" s="124">
        <v>0</v>
      </c>
      <c r="Y40" s="125">
        <v>0</v>
      </c>
      <c r="Z40" s="123">
        <v>31930</v>
      </c>
      <c r="AA40" s="124">
        <v>0</v>
      </c>
      <c r="AB40" s="125">
        <v>0</v>
      </c>
      <c r="AC40" s="123">
        <v>29110</v>
      </c>
      <c r="AD40" s="124">
        <v>0</v>
      </c>
      <c r="AE40" s="125">
        <v>0</v>
      </c>
      <c r="AF40" s="123">
        <v>41310</v>
      </c>
      <c r="AG40" s="126">
        <v>0</v>
      </c>
      <c r="AH40" s="231">
        <f>+Janvier!AJ40</f>
        <v>69601.949999999983</v>
      </c>
      <c r="AI40" s="231">
        <f>+Janvier!AK40</f>
        <v>241304.71153846153</v>
      </c>
      <c r="AJ40" s="231">
        <f>+Janvier!AL40</f>
        <v>160708.93788461541</v>
      </c>
      <c r="AK40" s="231">
        <f>+Janvier!AM40</f>
        <v>160708.93788461541</v>
      </c>
      <c r="AL40" s="231">
        <f>+Janvier!AN40</f>
        <v>101347.97884615386</v>
      </c>
      <c r="AM40" s="231">
        <f>+Janvier!AO40</f>
        <v>60326.177884615383</v>
      </c>
      <c r="AN40" s="231">
        <f>+Janvier!AP40</f>
        <v>120652.35576923077</v>
      </c>
      <c r="AO40" s="231">
        <f>+Janvier!AQ40</f>
        <v>60326.177884615383</v>
      </c>
      <c r="AP40" s="231">
        <f>+Janvier!AR40</f>
        <v>60326.177884615383</v>
      </c>
      <c r="AQ40" s="231">
        <f>+Janvier!AS40</f>
        <v>108053.37692307694</v>
      </c>
      <c r="AR40" s="16">
        <f>ROUND(E40/(AH40/15),0)</f>
        <v>3</v>
      </c>
      <c r="AS40" s="16">
        <f t="shared" ref="AS40" si="69">ROUND(H40/(AI40/15),0)</f>
        <v>8</v>
      </c>
      <c r="AT40" s="16">
        <f t="shared" ref="AT40" si="70">ROUND(K40/(AJ40/15),0)</f>
        <v>5</v>
      </c>
      <c r="AU40" s="16">
        <f t="shared" ref="AU40" si="71">ROUND(N40/(AK40/15),0)</f>
        <v>4</v>
      </c>
      <c r="AV40" s="16">
        <f t="shared" ref="AV40" si="72">ROUND(Q40/(AL40/15),0)</f>
        <v>5</v>
      </c>
      <c r="AW40" s="16">
        <f t="shared" ref="AW40" si="73">ROUND(T40/(AM40/15),0)</f>
        <v>4</v>
      </c>
      <c r="AX40" s="16">
        <f t="shared" ref="AX40" si="74">ROUND(W40/(AN40/15),0)</f>
        <v>8</v>
      </c>
      <c r="AY40" s="16">
        <f t="shared" ref="AY40" si="75">ROUND(Z40/(AO40/15),0)</f>
        <v>8</v>
      </c>
      <c r="AZ40" s="16">
        <f t="shared" ref="AZ40" si="76">ROUND(AC40/(AP40/15),0)</f>
        <v>7</v>
      </c>
      <c r="BA40" s="17">
        <f t="shared" ref="BA40" si="77">ROUND(AF40/(AQ40/15),0)</f>
        <v>6</v>
      </c>
    </row>
    <row r="41" spans="1:53" ht="15.6" x14ac:dyDescent="0.3">
      <c r="A41" s="199" t="s">
        <v>44</v>
      </c>
      <c r="B41" s="94">
        <v>43983</v>
      </c>
      <c r="C41" s="94">
        <v>44012</v>
      </c>
      <c r="D41" s="107">
        <v>1500</v>
      </c>
      <c r="E41" s="96">
        <v>1760</v>
      </c>
      <c r="F41" s="97">
        <v>0</v>
      </c>
      <c r="G41" s="95">
        <v>4300</v>
      </c>
      <c r="H41" s="96">
        <v>5600</v>
      </c>
      <c r="I41" s="105">
        <v>0</v>
      </c>
      <c r="J41" s="95">
        <v>4100</v>
      </c>
      <c r="K41" s="96">
        <v>4280</v>
      </c>
      <c r="L41" s="97">
        <v>0</v>
      </c>
      <c r="M41" s="95">
        <v>3300</v>
      </c>
      <c r="N41" s="96">
        <v>4112</v>
      </c>
      <c r="O41" s="97">
        <v>0</v>
      </c>
      <c r="P41" s="95">
        <v>2150</v>
      </c>
      <c r="Q41" s="96">
        <v>2512</v>
      </c>
      <c r="R41" s="97">
        <v>0</v>
      </c>
      <c r="S41" s="95">
        <v>1100</v>
      </c>
      <c r="T41" s="96">
        <v>1550</v>
      </c>
      <c r="U41" s="97">
        <v>0</v>
      </c>
      <c r="V41" s="95">
        <v>2250</v>
      </c>
      <c r="W41" s="96">
        <v>3040</v>
      </c>
      <c r="X41" s="97">
        <v>0</v>
      </c>
      <c r="Y41" s="95">
        <v>1300</v>
      </c>
      <c r="Z41" s="96">
        <v>1530</v>
      </c>
      <c r="AA41" s="97">
        <v>0</v>
      </c>
      <c r="AB41" s="95">
        <v>1300</v>
      </c>
      <c r="AC41" s="96">
        <v>1540</v>
      </c>
      <c r="AD41" s="97">
        <v>0</v>
      </c>
      <c r="AE41" s="95">
        <v>2350</v>
      </c>
      <c r="AF41" s="96">
        <v>2750</v>
      </c>
      <c r="AG41" s="105">
        <v>0</v>
      </c>
      <c r="AH41" s="231">
        <f>+Janvier!AJ41</f>
        <v>1769.7115384615383</v>
      </c>
      <c r="AI41" s="231">
        <f>+Janvier!AK41</f>
        <v>5505.7692307692305</v>
      </c>
      <c r="AJ41" s="231">
        <f>+Janvier!AL41</f>
        <v>4129.3269230769229</v>
      </c>
      <c r="AK41" s="231">
        <f>+Janvier!AM41</f>
        <v>4129.3269230769229</v>
      </c>
      <c r="AL41" s="231">
        <f>+Janvier!AN41</f>
        <v>2502.6223776223778</v>
      </c>
      <c r="AM41" s="231">
        <f>+Janvier!AO41</f>
        <v>1548.4975961538462</v>
      </c>
      <c r="AN41" s="231">
        <f>+Janvier!AP41</f>
        <v>3096.9951923076924</v>
      </c>
      <c r="AO41" s="231">
        <f>+Janvier!AQ41</f>
        <v>1548.4975961538462</v>
      </c>
      <c r="AP41" s="231">
        <f>+Janvier!AR41</f>
        <v>1548.4975961538462</v>
      </c>
      <c r="AQ41" s="231">
        <f>+Janvier!AS41</f>
        <v>2752.8846153846152</v>
      </c>
      <c r="AR41" s="16">
        <f t="shared" ref="AR41:AR53" si="78">ROUND(E41/(AH41/5),0)</f>
        <v>5</v>
      </c>
      <c r="AS41" s="16">
        <f t="shared" ref="AS41:AS53" si="79">ROUND(H41/(AI41/5),0)</f>
        <v>5</v>
      </c>
      <c r="AT41" s="16">
        <f t="shared" ref="AT41:AT53" si="80">ROUND(K41/(AJ41/5),0)</f>
        <v>5</v>
      </c>
      <c r="AU41" s="16">
        <f t="shared" ref="AU41:AU53" si="81">ROUND(N41/(AK41/5),0)</f>
        <v>5</v>
      </c>
      <c r="AV41" s="16">
        <f t="shared" ref="AV41:AV53" si="82">ROUND(Q41/(AL41/5),0)</f>
        <v>5</v>
      </c>
      <c r="AW41" s="16">
        <f t="shared" ref="AW41:AW53" si="83">ROUND(T41/(AM41/5),0)</f>
        <v>5</v>
      </c>
      <c r="AX41" s="16">
        <f t="shared" ref="AX41:AX53" si="84">ROUND(W41/(AN41/5),0)</f>
        <v>5</v>
      </c>
      <c r="AY41" s="16">
        <f t="shared" ref="AY41:AY53" si="85">ROUND(Z41/(AO41/5),0)</f>
        <v>5</v>
      </c>
      <c r="AZ41" s="16">
        <f t="shared" ref="AZ41:AZ53" si="86">ROUND(AC41/(AP41/5),0)</f>
        <v>5</v>
      </c>
      <c r="BA41" s="17">
        <f t="shared" ref="BA41:BA53" si="87">ROUND(AF41/(AQ41/5),0)</f>
        <v>5</v>
      </c>
    </row>
    <row r="42" spans="1:53" ht="15.6" x14ac:dyDescent="0.3">
      <c r="A42" s="199" t="s">
        <v>45</v>
      </c>
      <c r="B42" s="94">
        <v>43983</v>
      </c>
      <c r="C42" s="94">
        <v>44012</v>
      </c>
      <c r="D42" s="107">
        <v>500</v>
      </c>
      <c r="E42" s="96">
        <v>520</v>
      </c>
      <c r="F42" s="97">
        <v>0</v>
      </c>
      <c r="G42" s="95">
        <v>1300</v>
      </c>
      <c r="H42" s="96">
        <v>1600</v>
      </c>
      <c r="I42" s="105">
        <v>0</v>
      </c>
      <c r="J42" s="95">
        <v>1000</v>
      </c>
      <c r="K42" s="96">
        <v>1170</v>
      </c>
      <c r="L42" s="97">
        <v>0</v>
      </c>
      <c r="M42" s="95">
        <v>1000</v>
      </c>
      <c r="N42" s="96">
        <v>1188</v>
      </c>
      <c r="O42" s="97">
        <v>0</v>
      </c>
      <c r="P42" s="95">
        <v>650</v>
      </c>
      <c r="Q42" s="96">
        <v>724</v>
      </c>
      <c r="R42" s="97">
        <v>0</v>
      </c>
      <c r="S42" s="95">
        <v>350</v>
      </c>
      <c r="T42" s="96">
        <v>440</v>
      </c>
      <c r="U42" s="97">
        <v>0</v>
      </c>
      <c r="V42" s="95">
        <v>600</v>
      </c>
      <c r="W42" s="96">
        <v>910</v>
      </c>
      <c r="X42" s="97">
        <v>0</v>
      </c>
      <c r="Y42" s="95">
        <v>400</v>
      </c>
      <c r="Z42" s="96">
        <v>470</v>
      </c>
      <c r="AA42" s="97">
        <v>0</v>
      </c>
      <c r="AB42" s="95">
        <v>400</v>
      </c>
      <c r="AC42" s="96">
        <v>460</v>
      </c>
      <c r="AD42" s="97">
        <v>0</v>
      </c>
      <c r="AE42" s="95">
        <v>600</v>
      </c>
      <c r="AF42" s="96">
        <v>800</v>
      </c>
      <c r="AG42" s="105">
        <v>0</v>
      </c>
      <c r="AH42" s="231">
        <f>+Janvier!AJ42</f>
        <v>499.20329670329681</v>
      </c>
      <c r="AI42" s="231">
        <f>+Janvier!AK42</f>
        <v>1553.0769230769233</v>
      </c>
      <c r="AJ42" s="231">
        <f>+Janvier!AL42</f>
        <v>1164.8076923076926</v>
      </c>
      <c r="AK42" s="231">
        <f>+Janvier!AM42</f>
        <v>1164.8076923076926</v>
      </c>
      <c r="AL42" s="231">
        <f>+Janvier!AN42</f>
        <v>705.944055944056</v>
      </c>
      <c r="AM42" s="231">
        <f>+Janvier!AO42</f>
        <v>436.80288461538458</v>
      </c>
      <c r="AN42" s="231">
        <f>+Janvier!AP42</f>
        <v>873.60576923076917</v>
      </c>
      <c r="AO42" s="231">
        <f>+Janvier!AQ42</f>
        <v>436.80288461538458</v>
      </c>
      <c r="AP42" s="231">
        <f>+Janvier!AR42</f>
        <v>436.80288461538458</v>
      </c>
      <c r="AQ42" s="231">
        <f>+Janvier!AS42</f>
        <v>776.53846153846166</v>
      </c>
      <c r="AR42" s="16">
        <f t="shared" si="78"/>
        <v>5</v>
      </c>
      <c r="AS42" s="16">
        <f t="shared" si="79"/>
        <v>5</v>
      </c>
      <c r="AT42" s="16">
        <f t="shared" si="80"/>
        <v>5</v>
      </c>
      <c r="AU42" s="16">
        <f t="shared" si="81"/>
        <v>5</v>
      </c>
      <c r="AV42" s="16">
        <f t="shared" si="82"/>
        <v>5</v>
      </c>
      <c r="AW42" s="16">
        <f t="shared" si="83"/>
        <v>5</v>
      </c>
      <c r="AX42" s="16">
        <f t="shared" si="84"/>
        <v>5</v>
      </c>
      <c r="AY42" s="16">
        <f t="shared" si="85"/>
        <v>5</v>
      </c>
      <c r="AZ42" s="16">
        <f t="shared" si="86"/>
        <v>5</v>
      </c>
      <c r="BA42" s="17">
        <f t="shared" si="87"/>
        <v>5</v>
      </c>
    </row>
    <row r="43" spans="1:53" ht="15.6" x14ac:dyDescent="0.3">
      <c r="A43" s="199" t="s">
        <v>46</v>
      </c>
      <c r="B43" s="94">
        <v>43983</v>
      </c>
      <c r="C43" s="94">
        <v>44012</v>
      </c>
      <c r="D43" s="107">
        <v>2900</v>
      </c>
      <c r="E43" s="96">
        <v>3500</v>
      </c>
      <c r="F43" s="97">
        <v>0</v>
      </c>
      <c r="G43" s="95">
        <v>7600</v>
      </c>
      <c r="H43" s="96">
        <v>9600</v>
      </c>
      <c r="I43" s="105">
        <v>0</v>
      </c>
      <c r="J43" s="95">
        <v>6200</v>
      </c>
      <c r="K43" s="96">
        <v>7310</v>
      </c>
      <c r="L43" s="97">
        <v>0</v>
      </c>
      <c r="M43" s="95">
        <v>7200</v>
      </c>
      <c r="N43" s="96">
        <v>7280</v>
      </c>
      <c r="O43" s="97">
        <v>0</v>
      </c>
      <c r="P43" s="95">
        <v>4100</v>
      </c>
      <c r="Q43" s="96">
        <v>4400</v>
      </c>
      <c r="R43" s="97">
        <v>0</v>
      </c>
      <c r="S43" s="95">
        <v>2050</v>
      </c>
      <c r="T43" s="96">
        <v>2760</v>
      </c>
      <c r="U43" s="97">
        <v>0</v>
      </c>
      <c r="V43" s="95">
        <v>4200</v>
      </c>
      <c r="W43" s="96">
        <v>5480</v>
      </c>
      <c r="X43" s="97">
        <v>0</v>
      </c>
      <c r="Y43" s="95">
        <v>2500</v>
      </c>
      <c r="Z43" s="96">
        <v>2820</v>
      </c>
      <c r="AA43" s="97">
        <v>0</v>
      </c>
      <c r="AB43" s="95">
        <v>2500</v>
      </c>
      <c r="AC43" s="96">
        <v>2720</v>
      </c>
      <c r="AD43" s="97">
        <v>0</v>
      </c>
      <c r="AE43" s="95">
        <v>4800</v>
      </c>
      <c r="AF43" s="96">
        <v>4850</v>
      </c>
      <c r="AG43" s="105">
        <v>0</v>
      </c>
      <c r="AH43" s="231">
        <f>+Janvier!AJ43</f>
        <v>3075.0824175824173</v>
      </c>
      <c r="AI43" s="231">
        <f>+Janvier!AK43</f>
        <v>9566.923076923078</v>
      </c>
      <c r="AJ43" s="231">
        <f>+Janvier!AL43</f>
        <v>7175.1923076923067</v>
      </c>
      <c r="AK43" s="231">
        <f>+Janvier!AM43</f>
        <v>7175.1923076923067</v>
      </c>
      <c r="AL43" s="231">
        <f>+Janvier!AN43</f>
        <v>4348.6013986013986</v>
      </c>
      <c r="AM43" s="231">
        <f>+Janvier!AO43</f>
        <v>2690.6971153846152</v>
      </c>
      <c r="AN43" s="231">
        <f>+Janvier!AP43</f>
        <v>5381.3942307692305</v>
      </c>
      <c r="AO43" s="231">
        <f>+Janvier!AQ43</f>
        <v>2690.6971153846152</v>
      </c>
      <c r="AP43" s="231">
        <f>+Janvier!AR43</f>
        <v>2690.6971153846152</v>
      </c>
      <c r="AQ43" s="231">
        <f>+Janvier!AS43</f>
        <v>4783.461538461539</v>
      </c>
      <c r="AR43" s="16">
        <f t="shared" si="78"/>
        <v>6</v>
      </c>
      <c r="AS43" s="16">
        <f t="shared" si="79"/>
        <v>5</v>
      </c>
      <c r="AT43" s="16">
        <f t="shared" si="80"/>
        <v>5</v>
      </c>
      <c r="AU43" s="16">
        <f t="shared" si="81"/>
        <v>5</v>
      </c>
      <c r="AV43" s="16">
        <f t="shared" si="82"/>
        <v>5</v>
      </c>
      <c r="AW43" s="16">
        <f t="shared" si="83"/>
        <v>5</v>
      </c>
      <c r="AX43" s="16">
        <f t="shared" si="84"/>
        <v>5</v>
      </c>
      <c r="AY43" s="16">
        <f t="shared" si="85"/>
        <v>5</v>
      </c>
      <c r="AZ43" s="16">
        <f t="shared" si="86"/>
        <v>5</v>
      </c>
      <c r="BA43" s="17">
        <f t="shared" si="87"/>
        <v>5</v>
      </c>
    </row>
    <row r="44" spans="1:53" ht="15.6" x14ac:dyDescent="0.3">
      <c r="A44" s="199" t="s">
        <v>47</v>
      </c>
      <c r="B44" s="94">
        <v>43983</v>
      </c>
      <c r="C44" s="94">
        <v>44012</v>
      </c>
      <c r="D44" s="107">
        <v>2100</v>
      </c>
      <c r="E44" s="96">
        <v>2380</v>
      </c>
      <c r="F44" s="97">
        <v>0</v>
      </c>
      <c r="G44" s="95">
        <v>5700</v>
      </c>
      <c r="H44" s="96">
        <v>7410</v>
      </c>
      <c r="I44" s="105">
        <v>0</v>
      </c>
      <c r="J44" s="95">
        <v>4700</v>
      </c>
      <c r="K44" s="96">
        <v>5500</v>
      </c>
      <c r="L44" s="97">
        <v>0</v>
      </c>
      <c r="M44" s="95">
        <v>4500</v>
      </c>
      <c r="N44" s="96">
        <v>5396</v>
      </c>
      <c r="O44" s="97">
        <v>0</v>
      </c>
      <c r="P44" s="95">
        <v>2800</v>
      </c>
      <c r="Q44" s="96">
        <v>3273</v>
      </c>
      <c r="R44" s="97">
        <v>0</v>
      </c>
      <c r="S44" s="95">
        <v>1500</v>
      </c>
      <c r="T44" s="96">
        <v>2050</v>
      </c>
      <c r="U44" s="97">
        <v>0</v>
      </c>
      <c r="V44" s="95">
        <v>2500</v>
      </c>
      <c r="W44" s="96">
        <v>3860</v>
      </c>
      <c r="X44" s="97">
        <v>0</v>
      </c>
      <c r="Y44" s="95">
        <v>2000</v>
      </c>
      <c r="Z44" s="96">
        <v>2100</v>
      </c>
      <c r="AA44" s="97">
        <v>0</v>
      </c>
      <c r="AB44" s="95">
        <v>2050</v>
      </c>
      <c r="AC44" s="96">
        <v>2100</v>
      </c>
      <c r="AD44" s="97">
        <v>0</v>
      </c>
      <c r="AE44" s="95">
        <v>2560</v>
      </c>
      <c r="AF44" s="96">
        <v>3630</v>
      </c>
      <c r="AG44" s="105">
        <v>0</v>
      </c>
      <c r="AH44" s="231">
        <f>+Janvier!AJ44</f>
        <v>2324.2994505494512</v>
      </c>
      <c r="AI44" s="231">
        <f>+Janvier!AK44</f>
        <v>7231.1538461538476</v>
      </c>
      <c r="AJ44" s="231">
        <f>+Janvier!AL44</f>
        <v>5423.3653846153857</v>
      </c>
      <c r="AK44" s="231">
        <f>+Janvier!AM44</f>
        <v>5423.3653846153857</v>
      </c>
      <c r="AL44" s="231">
        <f>+Janvier!AN44</f>
        <v>3286.8881118881118</v>
      </c>
      <c r="AM44" s="231">
        <f>+Janvier!AO44</f>
        <v>2033.7620192307693</v>
      </c>
      <c r="AN44" s="231">
        <f>+Janvier!AP44</f>
        <v>4067.5240384615386</v>
      </c>
      <c r="AO44" s="231">
        <f>+Janvier!AQ44</f>
        <v>2033.7620192307693</v>
      </c>
      <c r="AP44" s="231">
        <f>+Janvier!AR44</f>
        <v>2033.7620192307693</v>
      </c>
      <c r="AQ44" s="231">
        <f>+Janvier!AS44</f>
        <v>3615.5769230769238</v>
      </c>
      <c r="AR44" s="16">
        <f t="shared" si="78"/>
        <v>5</v>
      </c>
      <c r="AS44" s="16">
        <f t="shared" si="79"/>
        <v>5</v>
      </c>
      <c r="AT44" s="16">
        <f t="shared" si="80"/>
        <v>5</v>
      </c>
      <c r="AU44" s="16">
        <f t="shared" si="81"/>
        <v>5</v>
      </c>
      <c r="AV44" s="16">
        <f t="shared" si="82"/>
        <v>5</v>
      </c>
      <c r="AW44" s="16">
        <f t="shared" si="83"/>
        <v>5</v>
      </c>
      <c r="AX44" s="16">
        <f t="shared" si="84"/>
        <v>5</v>
      </c>
      <c r="AY44" s="16">
        <f t="shared" si="85"/>
        <v>5</v>
      </c>
      <c r="AZ44" s="16">
        <f t="shared" si="86"/>
        <v>5</v>
      </c>
      <c r="BA44" s="17">
        <f t="shared" si="87"/>
        <v>5</v>
      </c>
    </row>
    <row r="45" spans="1:53" ht="15.6" x14ac:dyDescent="0.3">
      <c r="A45" s="199" t="s">
        <v>48</v>
      </c>
      <c r="B45" s="94">
        <v>43983</v>
      </c>
      <c r="C45" s="94">
        <v>44012</v>
      </c>
      <c r="D45" s="107">
        <v>1960</v>
      </c>
      <c r="E45" s="96">
        <v>2320</v>
      </c>
      <c r="F45" s="97">
        <v>0</v>
      </c>
      <c r="G45" s="95">
        <v>5800</v>
      </c>
      <c r="H45" s="96">
        <v>7240</v>
      </c>
      <c r="I45" s="105">
        <v>0</v>
      </c>
      <c r="J45" s="95">
        <v>4350</v>
      </c>
      <c r="K45" s="96">
        <v>5430</v>
      </c>
      <c r="L45" s="97">
        <v>0</v>
      </c>
      <c r="M45" s="95">
        <v>4584</v>
      </c>
      <c r="N45" s="96">
        <v>5432</v>
      </c>
      <c r="O45" s="97">
        <v>0</v>
      </c>
      <c r="P45" s="95">
        <v>2915</v>
      </c>
      <c r="Q45" s="96">
        <v>3300</v>
      </c>
      <c r="R45" s="97">
        <v>0</v>
      </c>
      <c r="S45" s="95">
        <v>1470</v>
      </c>
      <c r="T45" s="96">
        <v>2040</v>
      </c>
      <c r="U45" s="97">
        <v>0</v>
      </c>
      <c r="V45" s="95">
        <v>2430</v>
      </c>
      <c r="W45" s="96">
        <v>4070</v>
      </c>
      <c r="X45" s="97">
        <v>0</v>
      </c>
      <c r="Y45" s="95">
        <v>1910</v>
      </c>
      <c r="Z45" s="96">
        <v>2100</v>
      </c>
      <c r="AA45" s="97">
        <v>0</v>
      </c>
      <c r="AB45" s="95">
        <v>1840</v>
      </c>
      <c r="AC45" s="96">
        <v>2240</v>
      </c>
      <c r="AD45" s="97">
        <v>0</v>
      </c>
      <c r="AE45" s="95">
        <v>2730</v>
      </c>
      <c r="AF45" s="96">
        <v>3620</v>
      </c>
      <c r="AG45" s="105">
        <v>0</v>
      </c>
      <c r="AH45" s="231">
        <f>+Janvier!AJ45</f>
        <v>2327.5137362637361</v>
      </c>
      <c r="AI45" s="231">
        <f>+Janvier!AK45</f>
        <v>7241.1538461538466</v>
      </c>
      <c r="AJ45" s="231">
        <f>+Janvier!AL45</f>
        <v>5430.8653846153829</v>
      </c>
      <c r="AK45" s="231">
        <f>+Janvier!AM45</f>
        <v>5430.8653846153829</v>
      </c>
      <c r="AL45" s="231">
        <f>+Janvier!AN45</f>
        <v>3291.4335664335663</v>
      </c>
      <c r="AM45" s="231">
        <f>+Janvier!AO45</f>
        <v>2036.5745192307693</v>
      </c>
      <c r="AN45" s="231">
        <f>+Janvier!AP45</f>
        <v>4073.1490384615386</v>
      </c>
      <c r="AO45" s="231">
        <f>+Janvier!AQ45</f>
        <v>2036.5745192307693</v>
      </c>
      <c r="AP45" s="231">
        <f>+Janvier!AR45</f>
        <v>2036.5745192307693</v>
      </c>
      <c r="AQ45" s="231">
        <f>+Janvier!AS45</f>
        <v>3620.5769230769233</v>
      </c>
      <c r="AR45" s="16">
        <f t="shared" si="78"/>
        <v>5</v>
      </c>
      <c r="AS45" s="16">
        <f t="shared" si="79"/>
        <v>5</v>
      </c>
      <c r="AT45" s="16">
        <f t="shared" si="80"/>
        <v>5</v>
      </c>
      <c r="AU45" s="16">
        <f t="shared" si="81"/>
        <v>5</v>
      </c>
      <c r="AV45" s="16">
        <f t="shared" si="82"/>
        <v>5</v>
      </c>
      <c r="AW45" s="16">
        <f t="shared" si="83"/>
        <v>5</v>
      </c>
      <c r="AX45" s="16">
        <f t="shared" si="84"/>
        <v>5</v>
      </c>
      <c r="AY45" s="16">
        <f t="shared" si="85"/>
        <v>5</v>
      </c>
      <c r="AZ45" s="16">
        <f t="shared" si="86"/>
        <v>5</v>
      </c>
      <c r="BA45" s="17">
        <f t="shared" si="87"/>
        <v>5</v>
      </c>
    </row>
    <row r="46" spans="1:53" ht="15.6" x14ac:dyDescent="0.3">
      <c r="A46" s="199" t="s">
        <v>49</v>
      </c>
      <c r="B46" s="94">
        <v>43983</v>
      </c>
      <c r="C46" s="94">
        <v>44012</v>
      </c>
      <c r="D46" s="107">
        <v>1940</v>
      </c>
      <c r="E46" s="96">
        <v>2320</v>
      </c>
      <c r="F46" s="97">
        <v>0</v>
      </c>
      <c r="G46" s="95">
        <v>5800</v>
      </c>
      <c r="H46" s="96">
        <v>7340</v>
      </c>
      <c r="I46" s="105">
        <v>0</v>
      </c>
      <c r="J46" s="95">
        <v>4500</v>
      </c>
      <c r="K46" s="96">
        <v>5240</v>
      </c>
      <c r="L46" s="97">
        <v>0</v>
      </c>
      <c r="M46" s="95">
        <v>3400</v>
      </c>
      <c r="N46" s="96">
        <v>5200</v>
      </c>
      <c r="O46" s="97">
        <v>0</v>
      </c>
      <c r="P46" s="95">
        <v>2500</v>
      </c>
      <c r="Q46" s="96">
        <v>3216</v>
      </c>
      <c r="R46" s="97">
        <v>0</v>
      </c>
      <c r="S46" s="95">
        <v>1600</v>
      </c>
      <c r="T46" s="96">
        <v>1900</v>
      </c>
      <c r="U46" s="97">
        <v>0</v>
      </c>
      <c r="V46" s="95">
        <v>2650</v>
      </c>
      <c r="W46" s="96">
        <v>4030</v>
      </c>
      <c r="X46" s="97">
        <v>0</v>
      </c>
      <c r="Y46" s="95">
        <v>1500</v>
      </c>
      <c r="Z46" s="96">
        <v>2020</v>
      </c>
      <c r="AA46" s="97">
        <v>0</v>
      </c>
      <c r="AB46" s="95">
        <v>1550</v>
      </c>
      <c r="AC46" s="96">
        <v>2070</v>
      </c>
      <c r="AD46" s="97">
        <v>0</v>
      </c>
      <c r="AE46" s="95">
        <v>2450</v>
      </c>
      <c r="AF46" s="96">
        <v>3210</v>
      </c>
      <c r="AG46" s="105">
        <v>0</v>
      </c>
      <c r="AH46" s="231">
        <f>+Janvier!AJ46</f>
        <v>2160.3708791208792</v>
      </c>
      <c r="AI46" s="231">
        <f>+Janvier!AK46</f>
        <v>6721.1538461538466</v>
      </c>
      <c r="AJ46" s="231">
        <f>+Janvier!AL46</f>
        <v>5040.8653846153848</v>
      </c>
      <c r="AK46" s="231">
        <f>+Janvier!AM46</f>
        <v>5040.8653846153848</v>
      </c>
      <c r="AL46" s="231">
        <f>+Janvier!AN46</f>
        <v>3055.0699300699303</v>
      </c>
      <c r="AM46" s="231">
        <f>+Janvier!AO46</f>
        <v>1890.3245192307693</v>
      </c>
      <c r="AN46" s="231">
        <f>+Janvier!AP46</f>
        <v>3780.6490384615386</v>
      </c>
      <c r="AO46" s="231">
        <f>+Janvier!AQ46</f>
        <v>1890.3245192307693</v>
      </c>
      <c r="AP46" s="231">
        <f>+Janvier!AR46</f>
        <v>1890.3245192307693</v>
      </c>
      <c r="AQ46" s="231">
        <f>+Janvier!AS46</f>
        <v>3360.5769230769233</v>
      </c>
      <c r="AR46" s="16">
        <f t="shared" si="78"/>
        <v>5</v>
      </c>
      <c r="AS46" s="16">
        <f t="shared" si="79"/>
        <v>5</v>
      </c>
      <c r="AT46" s="16">
        <f t="shared" si="80"/>
        <v>5</v>
      </c>
      <c r="AU46" s="16">
        <f t="shared" si="81"/>
        <v>5</v>
      </c>
      <c r="AV46" s="16">
        <f t="shared" si="82"/>
        <v>5</v>
      </c>
      <c r="AW46" s="16">
        <f t="shared" si="83"/>
        <v>5</v>
      </c>
      <c r="AX46" s="16">
        <f t="shared" si="84"/>
        <v>5</v>
      </c>
      <c r="AY46" s="16">
        <f t="shared" si="85"/>
        <v>5</v>
      </c>
      <c r="AZ46" s="16">
        <f t="shared" si="86"/>
        <v>5</v>
      </c>
      <c r="BA46" s="17">
        <f t="shared" si="87"/>
        <v>5</v>
      </c>
    </row>
    <row r="47" spans="1:53" ht="15.6" x14ac:dyDescent="0.3">
      <c r="A47" s="199" t="s">
        <v>50</v>
      </c>
      <c r="B47" s="94">
        <v>43983</v>
      </c>
      <c r="C47" s="94">
        <v>44012</v>
      </c>
      <c r="D47" s="107">
        <v>3200</v>
      </c>
      <c r="E47" s="96">
        <v>3740</v>
      </c>
      <c r="F47" s="97">
        <v>0</v>
      </c>
      <c r="G47" s="95">
        <v>9600</v>
      </c>
      <c r="H47" s="96">
        <v>11720</v>
      </c>
      <c r="I47" s="105">
        <v>0</v>
      </c>
      <c r="J47" s="95">
        <v>7500</v>
      </c>
      <c r="K47" s="96">
        <v>8830</v>
      </c>
      <c r="L47" s="97">
        <v>0</v>
      </c>
      <c r="M47" s="95">
        <v>8000</v>
      </c>
      <c r="N47" s="96">
        <v>8820</v>
      </c>
      <c r="O47" s="97">
        <v>0</v>
      </c>
      <c r="P47" s="95">
        <v>5077</v>
      </c>
      <c r="Q47" s="96">
        <v>5450</v>
      </c>
      <c r="R47" s="97">
        <v>0</v>
      </c>
      <c r="S47" s="95">
        <v>2600</v>
      </c>
      <c r="T47" s="96">
        <v>3350</v>
      </c>
      <c r="U47" s="97">
        <v>0</v>
      </c>
      <c r="V47" s="95">
        <v>5600</v>
      </c>
      <c r="W47" s="96">
        <v>6570</v>
      </c>
      <c r="X47" s="97">
        <v>0</v>
      </c>
      <c r="Y47" s="95">
        <v>3200</v>
      </c>
      <c r="Z47" s="96">
        <v>3280</v>
      </c>
      <c r="AA47" s="97">
        <v>0</v>
      </c>
      <c r="AB47" s="95">
        <v>3300</v>
      </c>
      <c r="AC47" s="96">
        <v>3350</v>
      </c>
      <c r="AD47" s="97">
        <v>0</v>
      </c>
      <c r="AE47" s="95">
        <v>3380</v>
      </c>
      <c r="AF47" s="96">
        <v>5840</v>
      </c>
      <c r="AG47" s="105">
        <v>0</v>
      </c>
      <c r="AH47" s="231">
        <f>+Janvier!AJ47</f>
        <v>3766.7719780219786</v>
      </c>
      <c r="AI47" s="231">
        <f>+Janvier!AK47</f>
        <v>11718.846153846154</v>
      </c>
      <c r="AJ47" s="231">
        <f>+Janvier!AL47</f>
        <v>8789.1346153846171</v>
      </c>
      <c r="AK47" s="231">
        <f>+Janvier!AM47</f>
        <v>8789.1346153846171</v>
      </c>
      <c r="AL47" s="231">
        <f>+Janvier!AN47</f>
        <v>5326.7482517482513</v>
      </c>
      <c r="AM47" s="231">
        <f>+Janvier!AO47</f>
        <v>3295.9254807692309</v>
      </c>
      <c r="AN47" s="231">
        <f>+Janvier!AP47</f>
        <v>6591.8509615384619</v>
      </c>
      <c r="AO47" s="231">
        <f>+Janvier!AQ47</f>
        <v>3295.9254807692309</v>
      </c>
      <c r="AP47" s="231">
        <f>+Janvier!AR47</f>
        <v>3295.9254807692309</v>
      </c>
      <c r="AQ47" s="231">
        <f>+Janvier!AS47</f>
        <v>5859.4230769230771</v>
      </c>
      <c r="AR47" s="16">
        <f t="shared" si="78"/>
        <v>5</v>
      </c>
      <c r="AS47" s="16">
        <f t="shared" si="79"/>
        <v>5</v>
      </c>
      <c r="AT47" s="16">
        <f t="shared" si="80"/>
        <v>5</v>
      </c>
      <c r="AU47" s="16">
        <f t="shared" si="81"/>
        <v>5</v>
      </c>
      <c r="AV47" s="16">
        <f t="shared" si="82"/>
        <v>5</v>
      </c>
      <c r="AW47" s="16">
        <f t="shared" si="83"/>
        <v>5</v>
      </c>
      <c r="AX47" s="16">
        <f t="shared" si="84"/>
        <v>5</v>
      </c>
      <c r="AY47" s="16">
        <f t="shared" si="85"/>
        <v>5</v>
      </c>
      <c r="AZ47" s="16">
        <f t="shared" si="86"/>
        <v>5</v>
      </c>
      <c r="BA47" s="17">
        <f t="shared" si="87"/>
        <v>5</v>
      </c>
    </row>
    <row r="48" spans="1:53" ht="15.6" x14ac:dyDescent="0.3">
      <c r="A48" s="199" t="s">
        <v>56</v>
      </c>
      <c r="B48" s="94">
        <v>43983</v>
      </c>
      <c r="C48" s="94">
        <v>44012</v>
      </c>
      <c r="D48" s="107">
        <v>1200</v>
      </c>
      <c r="E48" s="96">
        <v>1620</v>
      </c>
      <c r="F48" s="97">
        <v>0</v>
      </c>
      <c r="G48" s="95">
        <v>3000</v>
      </c>
      <c r="H48" s="96">
        <v>5040</v>
      </c>
      <c r="I48" s="105">
        <v>0</v>
      </c>
      <c r="J48" s="95">
        <v>2500</v>
      </c>
      <c r="K48" s="96">
        <v>3810</v>
      </c>
      <c r="L48" s="97">
        <v>0</v>
      </c>
      <c r="M48" s="95">
        <v>2400</v>
      </c>
      <c r="N48" s="96">
        <v>3736</v>
      </c>
      <c r="O48" s="97">
        <v>0</v>
      </c>
      <c r="P48" s="95">
        <v>1650</v>
      </c>
      <c r="Q48" s="96">
        <v>2256</v>
      </c>
      <c r="R48" s="97">
        <v>0</v>
      </c>
      <c r="S48" s="95">
        <v>800</v>
      </c>
      <c r="T48" s="96">
        <v>1410</v>
      </c>
      <c r="U48" s="97">
        <v>0</v>
      </c>
      <c r="V48" s="95">
        <v>1400</v>
      </c>
      <c r="W48" s="96">
        <v>2800</v>
      </c>
      <c r="X48" s="97">
        <v>0</v>
      </c>
      <c r="Y48" s="95">
        <v>1100</v>
      </c>
      <c r="Z48" s="96">
        <v>1400</v>
      </c>
      <c r="AA48" s="97">
        <v>0</v>
      </c>
      <c r="AB48" s="95">
        <v>1200</v>
      </c>
      <c r="AC48" s="96">
        <v>1380</v>
      </c>
      <c r="AD48" s="97">
        <v>0</v>
      </c>
      <c r="AE48" s="95">
        <v>1300</v>
      </c>
      <c r="AF48" s="96">
        <v>2520</v>
      </c>
      <c r="AG48" s="105">
        <v>0</v>
      </c>
      <c r="AH48" s="231">
        <f>+Janvier!AJ48</f>
        <v>1604.6703296703297</v>
      </c>
      <c r="AI48" s="231">
        <f>+Janvier!AK48</f>
        <v>4992.3076923076924</v>
      </c>
      <c r="AJ48" s="231">
        <f>+Janvier!AL48</f>
        <v>3744.2307692307691</v>
      </c>
      <c r="AK48" s="231">
        <f>+Janvier!AM48</f>
        <v>3744.2307692307691</v>
      </c>
      <c r="AL48" s="231">
        <f>+Janvier!AN48</f>
        <v>2269.2307692307695</v>
      </c>
      <c r="AM48" s="231">
        <f>+Janvier!AO48</f>
        <v>1404.0865384615383</v>
      </c>
      <c r="AN48" s="231">
        <f>+Janvier!AP48</f>
        <v>2808.1730769230767</v>
      </c>
      <c r="AO48" s="231">
        <f>+Janvier!AQ48</f>
        <v>1404.0865384615383</v>
      </c>
      <c r="AP48" s="231">
        <f>+Janvier!AR48</f>
        <v>1404.0865384615383</v>
      </c>
      <c r="AQ48" s="231">
        <f>+Janvier!AS48</f>
        <v>2496.1538461538462</v>
      </c>
      <c r="AR48" s="16">
        <f t="shared" si="78"/>
        <v>5</v>
      </c>
      <c r="AS48" s="16">
        <f t="shared" si="79"/>
        <v>5</v>
      </c>
      <c r="AT48" s="16">
        <f t="shared" si="80"/>
        <v>5</v>
      </c>
      <c r="AU48" s="16">
        <f t="shared" si="81"/>
        <v>5</v>
      </c>
      <c r="AV48" s="16">
        <f t="shared" si="82"/>
        <v>5</v>
      </c>
      <c r="AW48" s="16">
        <f t="shared" si="83"/>
        <v>5</v>
      </c>
      <c r="AX48" s="16">
        <f t="shared" si="84"/>
        <v>5</v>
      </c>
      <c r="AY48" s="16">
        <f t="shared" si="85"/>
        <v>5</v>
      </c>
      <c r="AZ48" s="16">
        <f t="shared" si="86"/>
        <v>5</v>
      </c>
      <c r="BA48" s="17">
        <f t="shared" si="87"/>
        <v>5</v>
      </c>
    </row>
    <row r="49" spans="1:53" ht="15.6" x14ac:dyDescent="0.3">
      <c r="A49" s="199" t="s">
        <v>51</v>
      </c>
      <c r="B49" s="94">
        <v>43983</v>
      </c>
      <c r="C49" s="94">
        <v>44012</v>
      </c>
      <c r="D49" s="107">
        <v>1100</v>
      </c>
      <c r="E49" s="96">
        <v>1120</v>
      </c>
      <c r="F49" s="97">
        <v>0</v>
      </c>
      <c r="G49" s="95">
        <v>2300</v>
      </c>
      <c r="H49" s="96">
        <v>3120</v>
      </c>
      <c r="I49" s="105">
        <v>0</v>
      </c>
      <c r="J49" s="95">
        <v>1650</v>
      </c>
      <c r="K49" s="96">
        <v>2430</v>
      </c>
      <c r="L49" s="97">
        <v>0</v>
      </c>
      <c r="M49" s="95">
        <v>1560</v>
      </c>
      <c r="N49" s="96">
        <v>2412</v>
      </c>
      <c r="O49" s="97">
        <v>0</v>
      </c>
      <c r="P49" s="95">
        <v>1100</v>
      </c>
      <c r="Q49" s="96">
        <v>1450</v>
      </c>
      <c r="R49" s="97">
        <v>0</v>
      </c>
      <c r="S49" s="95">
        <v>550</v>
      </c>
      <c r="T49" s="96">
        <v>900</v>
      </c>
      <c r="U49" s="97">
        <v>0</v>
      </c>
      <c r="V49" s="95">
        <v>950</v>
      </c>
      <c r="W49" s="96">
        <v>1870</v>
      </c>
      <c r="X49" s="97">
        <v>0</v>
      </c>
      <c r="Y49" s="95">
        <v>900</v>
      </c>
      <c r="Z49" s="96">
        <v>950</v>
      </c>
      <c r="AA49" s="97">
        <v>0</v>
      </c>
      <c r="AB49" s="95">
        <v>900</v>
      </c>
      <c r="AC49" s="96">
        <v>930</v>
      </c>
      <c r="AD49" s="97">
        <v>0</v>
      </c>
      <c r="AE49" s="95">
        <v>1150</v>
      </c>
      <c r="AF49" s="96">
        <v>1620</v>
      </c>
      <c r="AG49" s="105">
        <v>0</v>
      </c>
      <c r="AH49" s="231">
        <f>+Janvier!AJ49</f>
        <v>1032.2802197802198</v>
      </c>
      <c r="AI49" s="231">
        <f>+Janvier!AK49</f>
        <v>3211.5384615384614</v>
      </c>
      <c r="AJ49" s="231">
        <f>+Janvier!AL49</f>
        <v>2408.6538461538462</v>
      </c>
      <c r="AK49" s="231">
        <f>+Janvier!AM49</f>
        <v>2408.6538461538462</v>
      </c>
      <c r="AL49" s="231">
        <f>+Janvier!AN49</f>
        <v>1459.7902097902099</v>
      </c>
      <c r="AM49" s="231">
        <f>+Janvier!AO49</f>
        <v>903.24519230769226</v>
      </c>
      <c r="AN49" s="231">
        <f>+Janvier!AP49</f>
        <v>1806.4903846153845</v>
      </c>
      <c r="AO49" s="231">
        <f>+Janvier!AQ49</f>
        <v>903.24519230769226</v>
      </c>
      <c r="AP49" s="231">
        <f>+Janvier!AR49</f>
        <v>903.24519230769226</v>
      </c>
      <c r="AQ49" s="231">
        <f>+Janvier!AS49</f>
        <v>1605.7692307692307</v>
      </c>
      <c r="AR49" s="16">
        <f t="shared" si="78"/>
        <v>5</v>
      </c>
      <c r="AS49" s="16">
        <f t="shared" si="79"/>
        <v>5</v>
      </c>
      <c r="AT49" s="16">
        <f t="shared" si="80"/>
        <v>5</v>
      </c>
      <c r="AU49" s="16">
        <f t="shared" si="81"/>
        <v>5</v>
      </c>
      <c r="AV49" s="16">
        <f t="shared" si="82"/>
        <v>5</v>
      </c>
      <c r="AW49" s="16">
        <f t="shared" si="83"/>
        <v>5</v>
      </c>
      <c r="AX49" s="16">
        <f t="shared" si="84"/>
        <v>5</v>
      </c>
      <c r="AY49" s="16">
        <f t="shared" si="85"/>
        <v>5</v>
      </c>
      <c r="AZ49" s="16">
        <f t="shared" si="86"/>
        <v>5</v>
      </c>
      <c r="BA49" s="17">
        <f t="shared" si="87"/>
        <v>5</v>
      </c>
    </row>
    <row r="50" spans="1:53" ht="15.6" x14ac:dyDescent="0.3">
      <c r="A50" s="199" t="s">
        <v>52</v>
      </c>
      <c r="B50" s="94">
        <v>43983</v>
      </c>
      <c r="C50" s="94">
        <v>44012</v>
      </c>
      <c r="D50" s="107">
        <v>2000</v>
      </c>
      <c r="E50" s="96">
        <v>2880</v>
      </c>
      <c r="F50" s="97">
        <v>0</v>
      </c>
      <c r="G50" s="95">
        <v>6000</v>
      </c>
      <c r="H50" s="96">
        <v>9380</v>
      </c>
      <c r="I50" s="105">
        <v>0</v>
      </c>
      <c r="J50" s="95">
        <v>4600</v>
      </c>
      <c r="K50" s="96">
        <v>7120</v>
      </c>
      <c r="L50" s="97">
        <v>0</v>
      </c>
      <c r="M50" s="95">
        <v>4600</v>
      </c>
      <c r="N50" s="96">
        <v>7100</v>
      </c>
      <c r="O50" s="97">
        <v>0</v>
      </c>
      <c r="P50" s="95">
        <v>2500</v>
      </c>
      <c r="Q50" s="96">
        <v>4200</v>
      </c>
      <c r="R50" s="97">
        <v>0</v>
      </c>
      <c r="S50" s="95">
        <v>1700</v>
      </c>
      <c r="T50" s="96">
        <v>2610</v>
      </c>
      <c r="U50" s="97">
        <v>0</v>
      </c>
      <c r="V50" s="95">
        <v>2500</v>
      </c>
      <c r="W50" s="96">
        <v>5160</v>
      </c>
      <c r="X50" s="97">
        <v>0</v>
      </c>
      <c r="Y50" s="95">
        <v>2200</v>
      </c>
      <c r="Z50" s="96">
        <v>2670</v>
      </c>
      <c r="AA50" s="97">
        <v>0</v>
      </c>
      <c r="AB50" s="95">
        <v>2200</v>
      </c>
      <c r="AC50" s="96">
        <v>2650</v>
      </c>
      <c r="AD50" s="97">
        <v>0</v>
      </c>
      <c r="AE50" s="95">
        <v>2500</v>
      </c>
      <c r="AF50" s="96">
        <v>4760</v>
      </c>
      <c r="AG50" s="105">
        <v>0</v>
      </c>
      <c r="AH50" s="231">
        <f>+Janvier!AJ50</f>
        <v>2981.6208791208792</v>
      </c>
      <c r="AI50" s="231">
        <f>+Janvier!AK50</f>
        <v>9276.1538461538476</v>
      </c>
      <c r="AJ50" s="231">
        <f>+Janvier!AL50</f>
        <v>6957.1153846153857</v>
      </c>
      <c r="AK50" s="231">
        <f>+Janvier!AM50</f>
        <v>6957.1153846153857</v>
      </c>
      <c r="AL50" s="231">
        <f>+Janvier!AN50</f>
        <v>4216.4335664335667</v>
      </c>
      <c r="AM50" s="231">
        <f>+Janvier!AO50</f>
        <v>2608.9182692307691</v>
      </c>
      <c r="AN50" s="231">
        <f>+Janvier!AP50</f>
        <v>5217.8365384615381</v>
      </c>
      <c r="AO50" s="231">
        <f>+Janvier!AQ50</f>
        <v>2608.9182692307691</v>
      </c>
      <c r="AP50" s="231">
        <f>+Janvier!AR50</f>
        <v>2608.9182692307691</v>
      </c>
      <c r="AQ50" s="231">
        <f>+Janvier!AS50</f>
        <v>4638.0769230769238</v>
      </c>
      <c r="AR50" s="16">
        <f t="shared" si="78"/>
        <v>5</v>
      </c>
      <c r="AS50" s="16">
        <f t="shared" si="79"/>
        <v>5</v>
      </c>
      <c r="AT50" s="16">
        <f t="shared" si="80"/>
        <v>5</v>
      </c>
      <c r="AU50" s="16">
        <f t="shared" si="81"/>
        <v>5</v>
      </c>
      <c r="AV50" s="16">
        <f t="shared" si="82"/>
        <v>5</v>
      </c>
      <c r="AW50" s="16">
        <f t="shared" si="83"/>
        <v>5</v>
      </c>
      <c r="AX50" s="16">
        <f t="shared" si="84"/>
        <v>5</v>
      </c>
      <c r="AY50" s="16">
        <f t="shared" si="85"/>
        <v>5</v>
      </c>
      <c r="AZ50" s="16">
        <f t="shared" si="86"/>
        <v>5</v>
      </c>
      <c r="BA50" s="17">
        <f t="shared" si="87"/>
        <v>5</v>
      </c>
    </row>
    <row r="51" spans="1:53" ht="15.6" x14ac:dyDescent="0.3">
      <c r="A51" s="199" t="s">
        <v>53</v>
      </c>
      <c r="B51" s="94">
        <v>43983</v>
      </c>
      <c r="C51" s="94">
        <v>44012</v>
      </c>
      <c r="D51" s="107">
        <v>160</v>
      </c>
      <c r="E51" s="96">
        <v>180</v>
      </c>
      <c r="F51" s="97">
        <v>0</v>
      </c>
      <c r="G51" s="95">
        <v>540</v>
      </c>
      <c r="H51" s="96">
        <v>540</v>
      </c>
      <c r="I51" s="105">
        <v>0</v>
      </c>
      <c r="J51" s="95">
        <v>140</v>
      </c>
      <c r="K51" s="96">
        <v>400</v>
      </c>
      <c r="L51" s="97">
        <v>0</v>
      </c>
      <c r="M51" s="95">
        <v>240</v>
      </c>
      <c r="N51" s="96">
        <v>392</v>
      </c>
      <c r="O51" s="97">
        <v>0</v>
      </c>
      <c r="P51" s="95">
        <v>214</v>
      </c>
      <c r="Q51" s="96">
        <v>239</v>
      </c>
      <c r="R51" s="97">
        <v>0</v>
      </c>
      <c r="S51" s="95">
        <v>60</v>
      </c>
      <c r="T51" s="96">
        <v>160</v>
      </c>
      <c r="U51" s="97">
        <v>0</v>
      </c>
      <c r="V51" s="95">
        <v>230</v>
      </c>
      <c r="W51" s="96">
        <v>300</v>
      </c>
      <c r="X51" s="97">
        <v>0</v>
      </c>
      <c r="Y51" s="95">
        <v>150</v>
      </c>
      <c r="Z51" s="96">
        <v>160</v>
      </c>
      <c r="AA51" s="97">
        <v>0</v>
      </c>
      <c r="AB51" s="95">
        <v>110</v>
      </c>
      <c r="AC51" s="96">
        <v>150</v>
      </c>
      <c r="AD51" s="97">
        <v>0</v>
      </c>
      <c r="AE51" s="95">
        <v>230</v>
      </c>
      <c r="AF51" s="96">
        <v>260</v>
      </c>
      <c r="AG51" s="105">
        <v>0</v>
      </c>
      <c r="AH51" s="231">
        <f>+Janvier!AJ51</f>
        <v>168.87362637362639</v>
      </c>
      <c r="AI51" s="231">
        <f>+Janvier!AK51</f>
        <v>525.38461538461547</v>
      </c>
      <c r="AJ51" s="231">
        <f>+Janvier!AL51</f>
        <v>394.0384615384616</v>
      </c>
      <c r="AK51" s="231">
        <f>+Janvier!AM51</f>
        <v>394.0384615384616</v>
      </c>
      <c r="AL51" s="231">
        <f>+Janvier!AN51</f>
        <v>238.81118881118883</v>
      </c>
      <c r="AM51" s="231">
        <f>+Janvier!AO51</f>
        <v>147.76442307692309</v>
      </c>
      <c r="AN51" s="231">
        <f>+Janvier!AP51</f>
        <v>295.52884615384619</v>
      </c>
      <c r="AO51" s="231">
        <f>+Janvier!AQ51</f>
        <v>147.76442307692309</v>
      </c>
      <c r="AP51" s="231">
        <f>+Janvier!AR51</f>
        <v>147.76442307692309</v>
      </c>
      <c r="AQ51" s="231">
        <f>+Janvier!AS51</f>
        <v>262.69230769230774</v>
      </c>
      <c r="AR51" s="16">
        <f t="shared" si="78"/>
        <v>5</v>
      </c>
      <c r="AS51" s="16">
        <f t="shared" si="79"/>
        <v>5</v>
      </c>
      <c r="AT51" s="16">
        <f t="shared" si="80"/>
        <v>5</v>
      </c>
      <c r="AU51" s="16">
        <f t="shared" si="81"/>
        <v>5</v>
      </c>
      <c r="AV51" s="16">
        <f t="shared" si="82"/>
        <v>5</v>
      </c>
      <c r="AW51" s="16">
        <f t="shared" si="83"/>
        <v>5</v>
      </c>
      <c r="AX51" s="16">
        <f t="shared" si="84"/>
        <v>5</v>
      </c>
      <c r="AY51" s="16">
        <f t="shared" si="85"/>
        <v>5</v>
      </c>
      <c r="AZ51" s="16">
        <f t="shared" si="86"/>
        <v>5</v>
      </c>
      <c r="BA51" s="17">
        <f t="shared" si="87"/>
        <v>5</v>
      </c>
    </row>
    <row r="52" spans="1:53" ht="15.6" x14ac:dyDescent="0.3">
      <c r="A52" s="199" t="s">
        <v>54</v>
      </c>
      <c r="B52" s="94">
        <v>43983</v>
      </c>
      <c r="C52" s="94">
        <v>44012</v>
      </c>
      <c r="D52" s="107">
        <v>900</v>
      </c>
      <c r="E52" s="96">
        <v>1080</v>
      </c>
      <c r="F52" s="97">
        <v>0</v>
      </c>
      <c r="G52" s="95">
        <v>2300</v>
      </c>
      <c r="H52" s="96">
        <v>3200</v>
      </c>
      <c r="I52" s="105">
        <v>0</v>
      </c>
      <c r="J52" s="95">
        <v>2000</v>
      </c>
      <c r="K52" s="96">
        <v>2500</v>
      </c>
      <c r="L52" s="97">
        <v>0</v>
      </c>
      <c r="M52" s="95">
        <v>2000</v>
      </c>
      <c r="N52" s="96">
        <v>2400</v>
      </c>
      <c r="O52" s="97">
        <v>0</v>
      </c>
      <c r="P52" s="95">
        <v>1050</v>
      </c>
      <c r="Q52" s="96">
        <v>1500</v>
      </c>
      <c r="R52" s="97">
        <v>0</v>
      </c>
      <c r="S52" s="95">
        <v>670</v>
      </c>
      <c r="T52" s="96">
        <v>920</v>
      </c>
      <c r="U52" s="97">
        <v>0</v>
      </c>
      <c r="V52" s="95">
        <v>1200</v>
      </c>
      <c r="W52" s="96">
        <v>1860</v>
      </c>
      <c r="X52" s="97">
        <v>0</v>
      </c>
      <c r="Y52" s="95">
        <v>800</v>
      </c>
      <c r="Z52" s="96">
        <v>930</v>
      </c>
      <c r="AA52" s="97">
        <v>0</v>
      </c>
      <c r="AB52" s="95">
        <v>900</v>
      </c>
      <c r="AC52" s="96">
        <v>900</v>
      </c>
      <c r="AD52" s="97">
        <v>0</v>
      </c>
      <c r="AE52" s="95">
        <v>1300</v>
      </c>
      <c r="AF52" s="96">
        <v>1600</v>
      </c>
      <c r="AG52" s="105">
        <v>0</v>
      </c>
      <c r="AH52" s="231">
        <f>+Janvier!AJ52</f>
        <v>1001.7445054945053</v>
      </c>
      <c r="AI52" s="231">
        <f>+Janvier!AK52</f>
        <v>3116.5384615384614</v>
      </c>
      <c r="AJ52" s="231">
        <f>+Janvier!AL52</f>
        <v>2337.4038461538462</v>
      </c>
      <c r="AK52" s="231">
        <f>+Janvier!AM52</f>
        <v>2337.4038461538462</v>
      </c>
      <c r="AL52" s="231">
        <f>+Janvier!AN52</f>
        <v>1416.6083916083917</v>
      </c>
      <c r="AM52" s="231">
        <f>+Janvier!AO52</f>
        <v>876.52644230769226</v>
      </c>
      <c r="AN52" s="231">
        <f>+Janvier!AP52</f>
        <v>1753.0528846153845</v>
      </c>
      <c r="AO52" s="231">
        <f>+Janvier!AQ52</f>
        <v>876.52644230769226</v>
      </c>
      <c r="AP52" s="231">
        <f>+Janvier!AR52</f>
        <v>876.52644230769226</v>
      </c>
      <c r="AQ52" s="231">
        <f>+Janvier!AS52</f>
        <v>1558.2692307692307</v>
      </c>
      <c r="AR52" s="16">
        <f t="shared" si="78"/>
        <v>5</v>
      </c>
      <c r="AS52" s="16">
        <f t="shared" si="79"/>
        <v>5</v>
      </c>
      <c r="AT52" s="16">
        <f t="shared" si="80"/>
        <v>5</v>
      </c>
      <c r="AU52" s="16">
        <f t="shared" si="81"/>
        <v>5</v>
      </c>
      <c r="AV52" s="16">
        <f t="shared" si="82"/>
        <v>5</v>
      </c>
      <c r="AW52" s="16">
        <f t="shared" si="83"/>
        <v>5</v>
      </c>
      <c r="AX52" s="16">
        <f t="shared" si="84"/>
        <v>5</v>
      </c>
      <c r="AY52" s="16">
        <f t="shared" si="85"/>
        <v>5</v>
      </c>
      <c r="AZ52" s="16">
        <f t="shared" si="86"/>
        <v>5</v>
      </c>
      <c r="BA52" s="17">
        <f t="shared" si="87"/>
        <v>5</v>
      </c>
    </row>
    <row r="53" spans="1:53" ht="16.2" thickBot="1" x14ac:dyDescent="0.35">
      <c r="A53" s="200" t="s">
        <v>55</v>
      </c>
      <c r="B53" s="255">
        <v>43983</v>
      </c>
      <c r="C53" s="255">
        <v>44012</v>
      </c>
      <c r="D53" s="249">
        <v>260</v>
      </c>
      <c r="E53" s="260">
        <v>280</v>
      </c>
      <c r="F53" s="261">
        <v>0</v>
      </c>
      <c r="G53" s="111">
        <v>500</v>
      </c>
      <c r="H53" s="109">
        <v>900</v>
      </c>
      <c r="I53" s="112">
        <v>0</v>
      </c>
      <c r="J53" s="111">
        <v>400</v>
      </c>
      <c r="K53" s="109">
        <v>640</v>
      </c>
      <c r="L53" s="110">
        <v>0</v>
      </c>
      <c r="M53" s="111">
        <v>300</v>
      </c>
      <c r="N53" s="109">
        <v>600</v>
      </c>
      <c r="O53" s="110">
        <v>0</v>
      </c>
      <c r="P53" s="111">
        <v>200</v>
      </c>
      <c r="Q53" s="109">
        <v>390</v>
      </c>
      <c r="R53" s="110">
        <v>0</v>
      </c>
      <c r="S53" s="111">
        <v>120</v>
      </c>
      <c r="T53" s="109">
        <v>250</v>
      </c>
      <c r="U53" s="110">
        <v>0</v>
      </c>
      <c r="V53" s="111">
        <v>390</v>
      </c>
      <c r="W53" s="109">
        <v>480</v>
      </c>
      <c r="X53" s="110">
        <v>0</v>
      </c>
      <c r="Y53" s="111">
        <v>200</v>
      </c>
      <c r="Z53" s="109">
        <v>240</v>
      </c>
      <c r="AA53" s="110">
        <v>0</v>
      </c>
      <c r="AB53" s="111">
        <v>240</v>
      </c>
      <c r="AC53" s="109">
        <v>240</v>
      </c>
      <c r="AD53" s="110">
        <v>0</v>
      </c>
      <c r="AE53" s="111">
        <v>400</v>
      </c>
      <c r="AF53" s="109">
        <v>430</v>
      </c>
      <c r="AG53" s="112">
        <v>0</v>
      </c>
      <c r="AH53" s="231">
        <f>+Janvier!AJ53</f>
        <v>269.25824175824175</v>
      </c>
      <c r="AI53" s="231">
        <f>+Janvier!AK53</f>
        <v>837.69230769230774</v>
      </c>
      <c r="AJ53" s="231">
        <f>+Janvier!AL53</f>
        <v>628.26923076923083</v>
      </c>
      <c r="AK53" s="231">
        <f>+Janvier!AM53</f>
        <v>628.26923076923083</v>
      </c>
      <c r="AL53" s="231">
        <f>+Janvier!AN53</f>
        <v>380.76923076923083</v>
      </c>
      <c r="AM53" s="231">
        <f>+Janvier!AO53</f>
        <v>235.60096153846155</v>
      </c>
      <c r="AN53" s="231">
        <f>+Janvier!AP53</f>
        <v>471.20192307692309</v>
      </c>
      <c r="AO53" s="231">
        <f>+Janvier!AQ53</f>
        <v>235.60096153846155</v>
      </c>
      <c r="AP53" s="231">
        <f>+Janvier!AR53</f>
        <v>235.60096153846155</v>
      </c>
      <c r="AQ53" s="231">
        <f>+Janvier!AS53</f>
        <v>418.84615384615387</v>
      </c>
      <c r="AR53" s="32">
        <f t="shared" si="78"/>
        <v>5</v>
      </c>
      <c r="AS53" s="32">
        <f t="shared" si="79"/>
        <v>5</v>
      </c>
      <c r="AT53" s="32">
        <f t="shared" si="80"/>
        <v>5</v>
      </c>
      <c r="AU53" s="32">
        <f t="shared" si="81"/>
        <v>5</v>
      </c>
      <c r="AV53" s="32">
        <f t="shared" si="82"/>
        <v>5</v>
      </c>
      <c r="AW53" s="32">
        <f t="shared" si="83"/>
        <v>5</v>
      </c>
      <c r="AX53" s="32">
        <f t="shared" si="84"/>
        <v>5</v>
      </c>
      <c r="AY53" s="32">
        <f t="shared" si="85"/>
        <v>5</v>
      </c>
      <c r="AZ53" s="32">
        <f t="shared" si="86"/>
        <v>5</v>
      </c>
      <c r="BA53" s="33">
        <f t="shared" si="87"/>
        <v>5</v>
      </c>
    </row>
    <row r="54" spans="1:53" ht="15.6" x14ac:dyDescent="0.3">
      <c r="A54" s="201" t="s">
        <v>146</v>
      </c>
      <c r="B54" s="256">
        <v>43983</v>
      </c>
      <c r="C54" s="259">
        <v>44012</v>
      </c>
      <c r="D54" s="125">
        <v>60000</v>
      </c>
      <c r="E54" s="123">
        <v>62500</v>
      </c>
      <c r="F54" s="124">
        <v>0</v>
      </c>
      <c r="G54" s="125">
        <v>205000</v>
      </c>
      <c r="H54" s="123">
        <v>215480</v>
      </c>
      <c r="I54" s="124">
        <v>0</v>
      </c>
      <c r="J54" s="125">
        <v>138900</v>
      </c>
      <c r="K54" s="123">
        <v>146140</v>
      </c>
      <c r="L54" s="124">
        <v>0</v>
      </c>
      <c r="M54" s="125">
        <v>137000</v>
      </c>
      <c r="N54" s="123">
        <v>147208</v>
      </c>
      <c r="O54" s="124">
        <v>0</v>
      </c>
      <c r="P54" s="125">
        <v>82200</v>
      </c>
      <c r="Q54" s="123">
        <v>88550</v>
      </c>
      <c r="R54" s="124">
        <v>0</v>
      </c>
      <c r="S54" s="125">
        <v>44250</v>
      </c>
      <c r="T54" s="123">
        <v>48260</v>
      </c>
      <c r="U54" s="124">
        <v>0</v>
      </c>
      <c r="V54" s="125">
        <v>86500</v>
      </c>
      <c r="W54" s="123">
        <v>111220</v>
      </c>
      <c r="X54" s="124">
        <v>0</v>
      </c>
      <c r="Y54" s="125">
        <v>49000</v>
      </c>
      <c r="Z54" s="123">
        <v>55060</v>
      </c>
      <c r="AA54" s="124">
        <v>0</v>
      </c>
      <c r="AB54" s="125">
        <v>51200</v>
      </c>
      <c r="AC54" s="123">
        <v>53960</v>
      </c>
      <c r="AD54" s="124">
        <v>0</v>
      </c>
      <c r="AE54" s="125">
        <v>68100</v>
      </c>
      <c r="AF54" s="123">
        <v>101670</v>
      </c>
      <c r="AG54" s="124">
        <v>0</v>
      </c>
      <c r="AH54" s="265">
        <f>+Janvier!AJ54</f>
        <v>63310.376250000001</v>
      </c>
      <c r="AI54" s="231">
        <f>+Janvier!AK54</f>
        <v>217816.00961538462</v>
      </c>
      <c r="AJ54" s="231">
        <f>+Janvier!AL54</f>
        <v>145065.46240384618</v>
      </c>
      <c r="AK54" s="231">
        <f>+Janvier!AM54</f>
        <v>145065.46240384618</v>
      </c>
      <c r="AL54" s="231">
        <f>+Janvier!AN54</f>
        <v>91482.724038461543</v>
      </c>
      <c r="AM54" s="231">
        <f>+Janvier!AO54</f>
        <v>54454.002403846156</v>
      </c>
      <c r="AN54" s="231">
        <f>+Janvier!AP54</f>
        <v>108908.00480769231</v>
      </c>
      <c r="AO54" s="231">
        <f>+Janvier!AQ54</f>
        <v>54454.002403846156</v>
      </c>
      <c r="AP54" s="231">
        <f>+Janvier!AR54</f>
        <v>54454.002403846156</v>
      </c>
      <c r="AQ54" s="231">
        <f>+Janvier!AS54</f>
        <v>98286.038653846175</v>
      </c>
      <c r="AR54" s="16">
        <f>ROUND(E54/(AH54/15),0)</f>
        <v>15</v>
      </c>
      <c r="AS54" s="16">
        <f t="shared" ref="AS54" si="88">ROUND(H54/(AI54/15),0)</f>
        <v>15</v>
      </c>
      <c r="AT54" s="16">
        <f t="shared" ref="AT54" si="89">ROUND(K54/(AJ54/15),0)</f>
        <v>15</v>
      </c>
      <c r="AU54" s="16">
        <f t="shared" ref="AU54" si="90">ROUND(N54/(AK54/15),0)</f>
        <v>15</v>
      </c>
      <c r="AV54" s="16">
        <f t="shared" ref="AV54" si="91">ROUND(Q54/(AL54/15),0)</f>
        <v>15</v>
      </c>
      <c r="AW54" s="16">
        <f t="shared" ref="AW54" si="92">ROUND(T54/(AM54/15),0)</f>
        <v>13</v>
      </c>
      <c r="AX54" s="16">
        <f t="shared" ref="AX54" si="93">ROUND(W54/(AN54/15),0)</f>
        <v>15</v>
      </c>
      <c r="AY54" s="16">
        <f t="shared" ref="AY54" si="94">ROUND(Z54/(AO54/15),0)</f>
        <v>15</v>
      </c>
      <c r="AZ54" s="16">
        <f t="shared" ref="AZ54" si="95">ROUND(AC54/(AP54/15),0)</f>
        <v>15</v>
      </c>
      <c r="BA54" s="17">
        <f t="shared" ref="BA54" si="96">ROUND(AF54/(AQ54/15),0)</f>
        <v>16</v>
      </c>
    </row>
    <row r="55" spans="1:53" ht="15.6" x14ac:dyDescent="0.3">
      <c r="A55" s="199" t="s">
        <v>21</v>
      </c>
      <c r="B55" s="257">
        <v>43983</v>
      </c>
      <c r="C55" s="233">
        <v>44012</v>
      </c>
      <c r="D55" s="95">
        <v>1320</v>
      </c>
      <c r="E55" s="96">
        <v>1460</v>
      </c>
      <c r="F55" s="97">
        <v>0</v>
      </c>
      <c r="G55" s="95">
        <v>3120</v>
      </c>
      <c r="H55" s="96">
        <v>3800</v>
      </c>
      <c r="I55" s="97">
        <v>0</v>
      </c>
      <c r="J55" s="95">
        <v>2400</v>
      </c>
      <c r="K55" s="96">
        <v>2690</v>
      </c>
      <c r="L55" s="97">
        <v>0</v>
      </c>
      <c r="M55" s="95">
        <v>2160</v>
      </c>
      <c r="N55" s="96">
        <v>2692</v>
      </c>
      <c r="O55" s="97">
        <v>0</v>
      </c>
      <c r="P55" s="95">
        <v>1600</v>
      </c>
      <c r="Q55" s="96">
        <v>1823</v>
      </c>
      <c r="R55" s="97">
        <v>0</v>
      </c>
      <c r="S55" s="95">
        <v>640</v>
      </c>
      <c r="T55" s="96">
        <v>900</v>
      </c>
      <c r="U55" s="97">
        <v>0</v>
      </c>
      <c r="V55" s="95">
        <v>1420</v>
      </c>
      <c r="W55" s="96">
        <v>2130</v>
      </c>
      <c r="X55" s="97">
        <v>0</v>
      </c>
      <c r="Y55" s="95">
        <v>820</v>
      </c>
      <c r="Z55" s="96">
        <v>1070</v>
      </c>
      <c r="AA55" s="97">
        <v>0</v>
      </c>
      <c r="AB55" s="95">
        <v>1070</v>
      </c>
      <c r="AC55" s="96">
        <v>1070</v>
      </c>
      <c r="AD55" s="97">
        <v>0</v>
      </c>
      <c r="AE55" s="95">
        <v>2000</v>
      </c>
      <c r="AF55" s="96">
        <v>2240</v>
      </c>
      <c r="AG55" s="97">
        <v>0</v>
      </c>
      <c r="AH55" s="265">
        <f>+Janvier!AJ55</f>
        <v>1099.4093406593406</v>
      </c>
      <c r="AI55" s="231">
        <f>+Janvier!AK55</f>
        <v>3420.3846153846152</v>
      </c>
      <c r="AJ55" s="231">
        <f>+Janvier!AL55</f>
        <v>2565.2884615384614</v>
      </c>
      <c r="AK55" s="231">
        <f>+Janvier!AM55</f>
        <v>2565.2884615384614</v>
      </c>
      <c r="AL55" s="231">
        <f>+Janvier!AN55</f>
        <v>1554.7202797202797</v>
      </c>
      <c r="AM55" s="231">
        <f>+Janvier!AO55</f>
        <v>961.98317307692309</v>
      </c>
      <c r="AN55" s="231">
        <f>+Janvier!AP55</f>
        <v>1923.9663461538462</v>
      </c>
      <c r="AO55" s="231">
        <f>+Janvier!AQ55</f>
        <v>961.98317307692309</v>
      </c>
      <c r="AP55" s="231">
        <f>+Janvier!AR55</f>
        <v>961.98317307692309</v>
      </c>
      <c r="AQ55" s="231">
        <f>+Janvier!AS55</f>
        <v>1710.1923076923076</v>
      </c>
      <c r="AR55" s="16">
        <f t="shared" ref="AR55:AR67" si="97">ROUND(E55/(AH55/5),0)</f>
        <v>7</v>
      </c>
      <c r="AS55" s="16">
        <f t="shared" ref="AS55:AS67" si="98">ROUND(H55/(AI55/5),0)</f>
        <v>6</v>
      </c>
      <c r="AT55" s="16">
        <f t="shared" ref="AT55:AT67" si="99">ROUND(K55/(AJ55/5),0)</f>
        <v>5</v>
      </c>
      <c r="AU55" s="16">
        <f t="shared" ref="AU55:AU67" si="100">ROUND(N55/(AK55/5),0)</f>
        <v>5</v>
      </c>
      <c r="AV55" s="16">
        <f t="shared" ref="AV55:AV67" si="101">ROUND(Q55/(AL55/5),0)</f>
        <v>6</v>
      </c>
      <c r="AW55" s="16">
        <f t="shared" ref="AW55:AW67" si="102">ROUND(T55/(AM55/5),0)</f>
        <v>5</v>
      </c>
      <c r="AX55" s="16">
        <f t="shared" ref="AX55:AX67" si="103">ROUND(W55/(AN55/5),0)</f>
        <v>6</v>
      </c>
      <c r="AY55" s="16">
        <f t="shared" ref="AY55:AY67" si="104">ROUND(Z55/(AO55/5),0)</f>
        <v>6</v>
      </c>
      <c r="AZ55" s="16">
        <f t="shared" ref="AZ55:AZ67" si="105">ROUND(AC55/(AP55/5),0)</f>
        <v>6</v>
      </c>
      <c r="BA55" s="17">
        <f t="shared" ref="BA55:BA67" si="106">ROUND(AF55/(AQ55/5),0)</f>
        <v>7</v>
      </c>
    </row>
    <row r="56" spans="1:53" ht="15.6" x14ac:dyDescent="0.3">
      <c r="A56" s="199" t="s">
        <v>22</v>
      </c>
      <c r="B56" s="257">
        <v>43983</v>
      </c>
      <c r="C56" s="233">
        <v>44012</v>
      </c>
      <c r="D56" s="95">
        <v>500</v>
      </c>
      <c r="E56" s="96">
        <v>160</v>
      </c>
      <c r="F56" s="97">
        <v>0</v>
      </c>
      <c r="G56" s="95">
        <v>1800</v>
      </c>
      <c r="H56" s="96">
        <v>880</v>
      </c>
      <c r="I56" s="97">
        <v>0</v>
      </c>
      <c r="J56" s="95">
        <v>1500</v>
      </c>
      <c r="K56" s="96">
        <v>440</v>
      </c>
      <c r="L56" s="97">
        <v>0</v>
      </c>
      <c r="M56" s="95">
        <v>1500</v>
      </c>
      <c r="N56" s="96">
        <v>472</v>
      </c>
      <c r="O56" s="97">
        <v>0</v>
      </c>
      <c r="P56" s="95">
        <v>700</v>
      </c>
      <c r="Q56" s="96">
        <v>140</v>
      </c>
      <c r="R56" s="97">
        <v>0</v>
      </c>
      <c r="S56" s="95">
        <v>730</v>
      </c>
      <c r="T56" s="96">
        <v>470</v>
      </c>
      <c r="U56" s="97">
        <v>0</v>
      </c>
      <c r="V56" s="95">
        <v>800</v>
      </c>
      <c r="W56" s="96">
        <v>500</v>
      </c>
      <c r="X56" s="97">
        <v>0</v>
      </c>
      <c r="Y56" s="95">
        <v>600</v>
      </c>
      <c r="Z56" s="96">
        <v>410</v>
      </c>
      <c r="AA56" s="97">
        <v>0</v>
      </c>
      <c r="AB56" s="95">
        <v>600</v>
      </c>
      <c r="AC56" s="96">
        <v>220</v>
      </c>
      <c r="AD56" s="97">
        <v>0</v>
      </c>
      <c r="AE56" s="95">
        <v>900</v>
      </c>
      <c r="AF56" s="96">
        <v>500</v>
      </c>
      <c r="AG56" s="97">
        <v>0</v>
      </c>
      <c r="AH56" s="265">
        <f>+Janvier!AJ56</f>
        <v>434.54670329670336</v>
      </c>
      <c r="AI56" s="231">
        <f>+Janvier!AK56</f>
        <v>1351.9230769230767</v>
      </c>
      <c r="AJ56" s="231">
        <f>+Janvier!AL56</f>
        <v>1013.9423076923077</v>
      </c>
      <c r="AK56" s="231">
        <f>+Janvier!AM56</f>
        <v>1013.9423076923077</v>
      </c>
      <c r="AL56" s="231">
        <f>+Janvier!AN56</f>
        <v>614.51048951048949</v>
      </c>
      <c r="AM56" s="231">
        <f>+Janvier!AO56</f>
        <v>380.22836538461542</v>
      </c>
      <c r="AN56" s="231">
        <f>+Janvier!AP56</f>
        <v>760.45673076923083</v>
      </c>
      <c r="AO56" s="231">
        <f>+Janvier!AQ56</f>
        <v>380.22836538461542</v>
      </c>
      <c r="AP56" s="231">
        <f>+Janvier!AR56</f>
        <v>380.22836538461542</v>
      </c>
      <c r="AQ56" s="231">
        <f>+Janvier!AS56</f>
        <v>675.96153846153834</v>
      </c>
      <c r="AR56" s="16">
        <f t="shared" si="97"/>
        <v>2</v>
      </c>
      <c r="AS56" s="16">
        <f t="shared" si="98"/>
        <v>3</v>
      </c>
      <c r="AT56" s="16">
        <f t="shared" si="99"/>
        <v>2</v>
      </c>
      <c r="AU56" s="16">
        <f t="shared" si="100"/>
        <v>2</v>
      </c>
      <c r="AV56" s="16">
        <f t="shared" si="101"/>
        <v>1</v>
      </c>
      <c r="AW56" s="16">
        <f t="shared" si="102"/>
        <v>6</v>
      </c>
      <c r="AX56" s="16">
        <f t="shared" si="103"/>
        <v>3</v>
      </c>
      <c r="AY56" s="16">
        <f t="shared" si="104"/>
        <v>5</v>
      </c>
      <c r="AZ56" s="16">
        <f t="shared" si="105"/>
        <v>3</v>
      </c>
      <c r="BA56" s="17">
        <f t="shared" si="106"/>
        <v>4</v>
      </c>
    </row>
    <row r="57" spans="1:53" ht="15.6" x14ac:dyDescent="0.3">
      <c r="A57" s="199" t="s">
        <v>25</v>
      </c>
      <c r="B57" s="257">
        <v>43983</v>
      </c>
      <c r="C57" s="233">
        <v>44012</v>
      </c>
      <c r="D57" s="95">
        <v>620</v>
      </c>
      <c r="E57" s="96">
        <v>80</v>
      </c>
      <c r="F57" s="97">
        <v>0</v>
      </c>
      <c r="G57" s="95">
        <v>1720</v>
      </c>
      <c r="H57" s="96">
        <v>120</v>
      </c>
      <c r="I57" s="97">
        <v>0</v>
      </c>
      <c r="J57" s="95">
        <v>1100</v>
      </c>
      <c r="K57" s="96">
        <v>130</v>
      </c>
      <c r="L57" s="97">
        <v>0</v>
      </c>
      <c r="M57" s="95">
        <v>232</v>
      </c>
      <c r="N57" s="96">
        <v>140</v>
      </c>
      <c r="O57" s="97">
        <v>0</v>
      </c>
      <c r="P57" s="95">
        <v>950</v>
      </c>
      <c r="Q57" s="96">
        <v>6</v>
      </c>
      <c r="R57" s="97">
        <v>0</v>
      </c>
      <c r="S57" s="95">
        <v>270</v>
      </c>
      <c r="T57" s="96">
        <v>20</v>
      </c>
      <c r="U57" s="97">
        <v>0</v>
      </c>
      <c r="V57" s="95">
        <v>680</v>
      </c>
      <c r="W57" s="96">
        <v>520</v>
      </c>
      <c r="X57" s="97">
        <v>0</v>
      </c>
      <c r="Y57" s="95">
        <v>600</v>
      </c>
      <c r="Z57" s="96">
        <v>190</v>
      </c>
      <c r="AA57" s="97">
        <v>0</v>
      </c>
      <c r="AB57" s="95">
        <v>560</v>
      </c>
      <c r="AC57" s="96">
        <v>10</v>
      </c>
      <c r="AD57" s="97">
        <v>0</v>
      </c>
      <c r="AE57" s="95">
        <v>0</v>
      </c>
      <c r="AF57" s="96">
        <v>350</v>
      </c>
      <c r="AG57" s="97">
        <v>0</v>
      </c>
      <c r="AH57" s="265">
        <f>+Janvier!AJ57</f>
        <v>816.30494505494516</v>
      </c>
      <c r="AI57" s="231">
        <f>+Janvier!AK57</f>
        <v>2539.6153846153848</v>
      </c>
      <c r="AJ57" s="231">
        <f>+Janvier!AL57</f>
        <v>1904.7115384615383</v>
      </c>
      <c r="AK57" s="231">
        <f>+Janvier!AM57</f>
        <v>1904.7115384615383</v>
      </c>
      <c r="AL57" s="231">
        <f>+Janvier!AN57</f>
        <v>1154.3706293706296</v>
      </c>
      <c r="AM57" s="231">
        <f>+Janvier!AO57</f>
        <v>714.26682692307691</v>
      </c>
      <c r="AN57" s="231">
        <f>+Janvier!AP57</f>
        <v>1428.5336538461538</v>
      </c>
      <c r="AO57" s="231">
        <f>+Janvier!AQ57</f>
        <v>714.26682692307691</v>
      </c>
      <c r="AP57" s="231">
        <f>+Janvier!AR57</f>
        <v>714.26682692307691</v>
      </c>
      <c r="AQ57" s="231">
        <f>+Janvier!AS57</f>
        <v>1269.8076923076924</v>
      </c>
      <c r="AR57" s="16">
        <f t="shared" si="97"/>
        <v>0</v>
      </c>
      <c r="AS57" s="16">
        <f t="shared" si="98"/>
        <v>0</v>
      </c>
      <c r="AT57" s="16">
        <f t="shared" si="99"/>
        <v>0</v>
      </c>
      <c r="AU57" s="16">
        <f t="shared" si="100"/>
        <v>0</v>
      </c>
      <c r="AV57" s="16">
        <f t="shared" si="101"/>
        <v>0</v>
      </c>
      <c r="AW57" s="16">
        <f t="shared" si="102"/>
        <v>0</v>
      </c>
      <c r="AX57" s="16">
        <f t="shared" si="103"/>
        <v>2</v>
      </c>
      <c r="AY57" s="16">
        <f t="shared" si="104"/>
        <v>1</v>
      </c>
      <c r="AZ57" s="16">
        <f t="shared" si="105"/>
        <v>0</v>
      </c>
      <c r="BA57" s="17">
        <f t="shared" si="106"/>
        <v>1</v>
      </c>
    </row>
    <row r="58" spans="1:53" ht="15.6" x14ac:dyDescent="0.3">
      <c r="A58" s="199" t="s">
        <v>23</v>
      </c>
      <c r="B58" s="257">
        <v>43983</v>
      </c>
      <c r="C58" s="233">
        <v>44012</v>
      </c>
      <c r="D58" s="95">
        <v>0</v>
      </c>
      <c r="E58" s="96">
        <v>920</v>
      </c>
      <c r="F58" s="97">
        <v>0</v>
      </c>
      <c r="G58" s="95">
        <v>0</v>
      </c>
      <c r="H58" s="96">
        <v>3340</v>
      </c>
      <c r="I58" s="97">
        <v>0</v>
      </c>
      <c r="J58" s="95">
        <v>0</v>
      </c>
      <c r="K58" s="96">
        <v>2260</v>
      </c>
      <c r="L58" s="97">
        <v>0</v>
      </c>
      <c r="M58" s="95">
        <v>0</v>
      </c>
      <c r="N58" s="96">
        <v>2444</v>
      </c>
      <c r="O58" s="97">
        <v>0</v>
      </c>
      <c r="P58" s="95">
        <v>0</v>
      </c>
      <c r="Q58" s="96">
        <v>1000</v>
      </c>
      <c r="R58" s="97">
        <v>0</v>
      </c>
      <c r="S58" s="95">
        <v>0</v>
      </c>
      <c r="T58" s="96">
        <v>910</v>
      </c>
      <c r="U58" s="97">
        <v>0</v>
      </c>
      <c r="V58" s="95">
        <v>0</v>
      </c>
      <c r="W58" s="96">
        <v>2480</v>
      </c>
      <c r="X58" s="97">
        <v>0</v>
      </c>
      <c r="Y58" s="95">
        <v>0</v>
      </c>
      <c r="Z58" s="96">
        <v>950</v>
      </c>
      <c r="AA58" s="97">
        <v>0</v>
      </c>
      <c r="AB58" s="95">
        <v>0</v>
      </c>
      <c r="AC58" s="96">
        <v>790</v>
      </c>
      <c r="AD58" s="97">
        <v>0</v>
      </c>
      <c r="AE58" s="95">
        <v>0</v>
      </c>
      <c r="AF58" s="96">
        <v>2140</v>
      </c>
      <c r="AG58" s="97">
        <v>0</v>
      </c>
      <c r="AH58" s="265">
        <f>+Janvier!AJ58</f>
        <v>510.08241758241758</v>
      </c>
      <c r="AI58" s="231">
        <f>+Janvier!AK58</f>
        <v>1586.9230769230767</v>
      </c>
      <c r="AJ58" s="231">
        <f>+Janvier!AL58</f>
        <v>1190.1923076923078</v>
      </c>
      <c r="AK58" s="231">
        <f>+Janvier!AM58</f>
        <v>1190.1923076923078</v>
      </c>
      <c r="AL58" s="231">
        <f>+Janvier!AN58</f>
        <v>721.32867132867148</v>
      </c>
      <c r="AM58" s="231">
        <f>+Janvier!AO58</f>
        <v>446.32211538461542</v>
      </c>
      <c r="AN58" s="231">
        <f>+Janvier!AP58</f>
        <v>892.64423076923083</v>
      </c>
      <c r="AO58" s="231">
        <f>+Janvier!AQ58</f>
        <v>446.32211538461542</v>
      </c>
      <c r="AP58" s="231">
        <f>+Janvier!AR58</f>
        <v>446.32211538461542</v>
      </c>
      <c r="AQ58" s="231">
        <f>+Janvier!AS58</f>
        <v>793.46153846153834</v>
      </c>
      <c r="AR58" s="16">
        <f t="shared" si="97"/>
        <v>9</v>
      </c>
      <c r="AS58" s="16">
        <f t="shared" si="98"/>
        <v>11</v>
      </c>
      <c r="AT58" s="16">
        <f t="shared" si="99"/>
        <v>9</v>
      </c>
      <c r="AU58" s="16">
        <f t="shared" si="100"/>
        <v>10</v>
      </c>
      <c r="AV58" s="16">
        <f t="shared" si="101"/>
        <v>7</v>
      </c>
      <c r="AW58" s="16">
        <f t="shared" si="102"/>
        <v>10</v>
      </c>
      <c r="AX58" s="16">
        <f t="shared" si="103"/>
        <v>14</v>
      </c>
      <c r="AY58" s="16">
        <f t="shared" si="104"/>
        <v>11</v>
      </c>
      <c r="AZ58" s="16">
        <f t="shared" si="105"/>
        <v>9</v>
      </c>
      <c r="BA58" s="17">
        <f t="shared" si="106"/>
        <v>13</v>
      </c>
    </row>
    <row r="59" spans="1:53" ht="15.6" x14ac:dyDescent="0.3">
      <c r="A59" s="199" t="s">
        <v>24</v>
      </c>
      <c r="B59" s="257">
        <v>43983</v>
      </c>
      <c r="C59" s="233">
        <v>44012</v>
      </c>
      <c r="D59" s="95">
        <v>680</v>
      </c>
      <c r="E59" s="96">
        <v>560</v>
      </c>
      <c r="F59" s="97">
        <v>0</v>
      </c>
      <c r="G59" s="95">
        <v>1200</v>
      </c>
      <c r="H59" s="96">
        <v>720</v>
      </c>
      <c r="I59" s="97">
        <v>0</v>
      </c>
      <c r="J59" s="95">
        <v>1000</v>
      </c>
      <c r="K59" s="96">
        <v>1070</v>
      </c>
      <c r="L59" s="97">
        <v>0</v>
      </c>
      <c r="M59" s="95">
        <v>1200</v>
      </c>
      <c r="N59" s="96">
        <v>1024</v>
      </c>
      <c r="O59" s="97">
        <v>0</v>
      </c>
      <c r="P59" s="95">
        <v>250</v>
      </c>
      <c r="Q59" s="96">
        <v>289</v>
      </c>
      <c r="R59" s="97">
        <v>0</v>
      </c>
      <c r="S59" s="95">
        <v>400</v>
      </c>
      <c r="T59" s="96">
        <v>340</v>
      </c>
      <c r="U59" s="97">
        <v>0</v>
      </c>
      <c r="V59" s="95">
        <v>500</v>
      </c>
      <c r="W59" s="96">
        <v>200</v>
      </c>
      <c r="X59" s="97">
        <v>0</v>
      </c>
      <c r="Y59" s="95">
        <v>330</v>
      </c>
      <c r="Z59" s="96">
        <v>280</v>
      </c>
      <c r="AA59" s="97">
        <v>0</v>
      </c>
      <c r="AB59" s="95">
        <v>520</v>
      </c>
      <c r="AC59" s="96">
        <v>310</v>
      </c>
      <c r="AD59" s="97">
        <v>0</v>
      </c>
      <c r="AE59" s="95">
        <v>760</v>
      </c>
      <c r="AF59" s="96">
        <v>710</v>
      </c>
      <c r="AG59" s="97">
        <v>0</v>
      </c>
      <c r="AH59" s="265">
        <f>+Janvier!AJ59</f>
        <v>646.8131868131868</v>
      </c>
      <c r="AI59" s="231">
        <f>+Janvier!AK59</f>
        <v>2012.3076923076924</v>
      </c>
      <c r="AJ59" s="231">
        <f>+Janvier!AL59</f>
        <v>1509.2307692307693</v>
      </c>
      <c r="AK59" s="231">
        <f>+Janvier!AM59</f>
        <v>1509.2307692307693</v>
      </c>
      <c r="AL59" s="231">
        <f>+Janvier!AN59</f>
        <v>914.68531468531478</v>
      </c>
      <c r="AM59" s="231">
        <f>+Janvier!AO59</f>
        <v>565.96153846153845</v>
      </c>
      <c r="AN59" s="231">
        <f>+Janvier!AP59</f>
        <v>1131.9230769230769</v>
      </c>
      <c r="AO59" s="231">
        <f>+Janvier!AQ59</f>
        <v>565.96153846153845</v>
      </c>
      <c r="AP59" s="231">
        <f>+Janvier!AR59</f>
        <v>565.96153846153845</v>
      </c>
      <c r="AQ59" s="231">
        <f>+Janvier!AS59</f>
        <v>1006.1538461538462</v>
      </c>
      <c r="AR59" s="16">
        <f t="shared" si="97"/>
        <v>4</v>
      </c>
      <c r="AS59" s="16">
        <f t="shared" si="98"/>
        <v>2</v>
      </c>
      <c r="AT59" s="16">
        <f t="shared" si="99"/>
        <v>4</v>
      </c>
      <c r="AU59" s="16">
        <f t="shared" si="100"/>
        <v>3</v>
      </c>
      <c r="AV59" s="16">
        <f t="shared" si="101"/>
        <v>2</v>
      </c>
      <c r="AW59" s="16">
        <f t="shared" si="102"/>
        <v>3</v>
      </c>
      <c r="AX59" s="16">
        <f t="shared" si="103"/>
        <v>1</v>
      </c>
      <c r="AY59" s="16">
        <f t="shared" si="104"/>
        <v>2</v>
      </c>
      <c r="AZ59" s="16">
        <f t="shared" si="105"/>
        <v>3</v>
      </c>
      <c r="BA59" s="17">
        <f t="shared" si="106"/>
        <v>4</v>
      </c>
    </row>
    <row r="60" spans="1:53" ht="15.6" x14ac:dyDescent="0.3">
      <c r="A60" s="199" t="s">
        <v>26</v>
      </c>
      <c r="B60" s="257">
        <v>43983</v>
      </c>
      <c r="C60" s="233">
        <v>44012</v>
      </c>
      <c r="D60" s="95">
        <v>1700</v>
      </c>
      <c r="E60" s="96">
        <v>3600</v>
      </c>
      <c r="F60" s="97">
        <v>0</v>
      </c>
      <c r="G60" s="95">
        <v>4600</v>
      </c>
      <c r="H60" s="96">
        <v>8000</v>
      </c>
      <c r="I60" s="97">
        <v>0</v>
      </c>
      <c r="J60" s="95">
        <v>3200</v>
      </c>
      <c r="K60" s="96">
        <v>5660</v>
      </c>
      <c r="L60" s="97">
        <v>0</v>
      </c>
      <c r="M60" s="95">
        <v>3200</v>
      </c>
      <c r="N60" s="96">
        <v>5712</v>
      </c>
      <c r="O60" s="97">
        <v>0</v>
      </c>
      <c r="P60" s="95">
        <v>1800</v>
      </c>
      <c r="Q60" s="96">
        <v>3471</v>
      </c>
      <c r="R60" s="97">
        <v>0</v>
      </c>
      <c r="S60" s="95">
        <v>1000</v>
      </c>
      <c r="T60" s="96">
        <v>1895</v>
      </c>
      <c r="U60" s="97">
        <v>0</v>
      </c>
      <c r="V60" s="95">
        <v>1000</v>
      </c>
      <c r="W60" s="96">
        <v>4340</v>
      </c>
      <c r="X60" s="97">
        <v>0</v>
      </c>
      <c r="Y60" s="95">
        <v>1200</v>
      </c>
      <c r="Z60" s="96">
        <v>2100</v>
      </c>
      <c r="AA60" s="97">
        <v>0</v>
      </c>
      <c r="AB60" s="95">
        <v>2140</v>
      </c>
      <c r="AC60" s="96">
        <v>2230</v>
      </c>
      <c r="AD60" s="97">
        <v>0</v>
      </c>
      <c r="AE60" s="95">
        <v>1000</v>
      </c>
      <c r="AF60" s="96">
        <v>3880</v>
      </c>
      <c r="AG60" s="97">
        <v>0</v>
      </c>
      <c r="AH60" s="265">
        <f>+Janvier!AJ60</f>
        <v>2337.1565934065934</v>
      </c>
      <c r="AI60" s="231">
        <f>+Janvier!AK60</f>
        <v>7271.1538461538466</v>
      </c>
      <c r="AJ60" s="231">
        <f>+Janvier!AL60</f>
        <v>5453.3653846153848</v>
      </c>
      <c r="AK60" s="231">
        <f>+Janvier!AM60</f>
        <v>5453.3653846153848</v>
      </c>
      <c r="AL60" s="231">
        <f>+Janvier!AN60</f>
        <v>3305.0699300699303</v>
      </c>
      <c r="AM60" s="231">
        <f>+Janvier!AO60</f>
        <v>2045.0120192307693</v>
      </c>
      <c r="AN60" s="231">
        <f>+Janvier!AP60</f>
        <v>4090.0240384615386</v>
      </c>
      <c r="AO60" s="231">
        <f>+Janvier!AQ60</f>
        <v>2045.0120192307693</v>
      </c>
      <c r="AP60" s="231">
        <f>+Janvier!AR60</f>
        <v>2045.0120192307693</v>
      </c>
      <c r="AQ60" s="231">
        <f>+Janvier!AS60</f>
        <v>3635.5769230769233</v>
      </c>
      <c r="AR60" s="16">
        <f t="shared" si="97"/>
        <v>8</v>
      </c>
      <c r="AS60" s="16">
        <f t="shared" si="98"/>
        <v>6</v>
      </c>
      <c r="AT60" s="16">
        <f t="shared" si="99"/>
        <v>5</v>
      </c>
      <c r="AU60" s="16">
        <f t="shared" si="100"/>
        <v>5</v>
      </c>
      <c r="AV60" s="16">
        <f t="shared" si="101"/>
        <v>5</v>
      </c>
      <c r="AW60" s="16">
        <f t="shared" si="102"/>
        <v>5</v>
      </c>
      <c r="AX60" s="16">
        <f t="shared" si="103"/>
        <v>5</v>
      </c>
      <c r="AY60" s="16">
        <f t="shared" si="104"/>
        <v>5</v>
      </c>
      <c r="AZ60" s="16">
        <f t="shared" si="105"/>
        <v>5</v>
      </c>
      <c r="BA60" s="17">
        <f t="shared" si="106"/>
        <v>5</v>
      </c>
    </row>
    <row r="61" spans="1:53" ht="15.6" x14ac:dyDescent="0.3">
      <c r="A61" s="199" t="s">
        <v>27</v>
      </c>
      <c r="B61" s="257">
        <v>43983</v>
      </c>
      <c r="C61" s="233">
        <v>44012</v>
      </c>
      <c r="D61" s="95">
        <v>980</v>
      </c>
      <c r="E61" s="96">
        <v>340</v>
      </c>
      <c r="F61" s="97">
        <v>0</v>
      </c>
      <c r="G61" s="95">
        <v>2360</v>
      </c>
      <c r="H61" s="96">
        <v>1360</v>
      </c>
      <c r="I61" s="97">
        <v>0</v>
      </c>
      <c r="J61" s="95">
        <v>1800</v>
      </c>
      <c r="K61" s="96">
        <v>890</v>
      </c>
      <c r="L61" s="97">
        <v>0</v>
      </c>
      <c r="M61" s="95">
        <v>1812</v>
      </c>
      <c r="N61" s="96">
        <v>1084</v>
      </c>
      <c r="O61" s="97">
        <v>0</v>
      </c>
      <c r="P61" s="95">
        <v>1300</v>
      </c>
      <c r="Q61" s="96">
        <v>541</v>
      </c>
      <c r="R61" s="97">
        <v>0</v>
      </c>
      <c r="S61" s="95">
        <v>590</v>
      </c>
      <c r="T61" s="96">
        <v>390</v>
      </c>
      <c r="U61" s="97">
        <v>0</v>
      </c>
      <c r="V61" s="95">
        <v>1200</v>
      </c>
      <c r="W61" s="96">
        <v>1550</v>
      </c>
      <c r="X61" s="97">
        <v>0</v>
      </c>
      <c r="Y61" s="95">
        <v>870</v>
      </c>
      <c r="Z61" s="96">
        <v>310</v>
      </c>
      <c r="AA61" s="97">
        <v>0</v>
      </c>
      <c r="AB61" s="95">
        <v>1560</v>
      </c>
      <c r="AC61" s="96">
        <v>970</v>
      </c>
      <c r="AD61" s="97">
        <v>0</v>
      </c>
      <c r="AE61" s="95">
        <v>930</v>
      </c>
      <c r="AF61" s="96">
        <v>1710</v>
      </c>
      <c r="AG61" s="97">
        <v>0</v>
      </c>
      <c r="AH61" s="265">
        <f>+Janvier!AJ61</f>
        <v>1836.5934065934064</v>
      </c>
      <c r="AI61" s="231">
        <f>+Janvier!AK61</f>
        <v>5713.8461538461534</v>
      </c>
      <c r="AJ61" s="231">
        <f>+Janvier!AL61</f>
        <v>4285.3846153846152</v>
      </c>
      <c r="AK61" s="231">
        <f>+Janvier!AM61</f>
        <v>4285.3846153846152</v>
      </c>
      <c r="AL61" s="231">
        <f>+Janvier!AN61</f>
        <v>2597.2027972027972</v>
      </c>
      <c r="AM61" s="231">
        <f>+Janvier!AO61</f>
        <v>1607.0192307692307</v>
      </c>
      <c r="AN61" s="231">
        <f>+Janvier!AP61</f>
        <v>3214.0384615384614</v>
      </c>
      <c r="AO61" s="231">
        <f>+Janvier!AQ61</f>
        <v>1607.0192307692307</v>
      </c>
      <c r="AP61" s="231">
        <f>+Janvier!AR61</f>
        <v>1607.0192307692307</v>
      </c>
      <c r="AQ61" s="231">
        <f>+Janvier!AS61</f>
        <v>2856.9230769230767</v>
      </c>
      <c r="AR61" s="16">
        <f t="shared" si="97"/>
        <v>1</v>
      </c>
      <c r="AS61" s="16">
        <f t="shared" si="98"/>
        <v>1</v>
      </c>
      <c r="AT61" s="16">
        <f t="shared" si="99"/>
        <v>1</v>
      </c>
      <c r="AU61" s="16">
        <f t="shared" si="100"/>
        <v>1</v>
      </c>
      <c r="AV61" s="16">
        <f t="shared" si="101"/>
        <v>1</v>
      </c>
      <c r="AW61" s="16">
        <f t="shared" si="102"/>
        <v>1</v>
      </c>
      <c r="AX61" s="16">
        <f t="shared" si="103"/>
        <v>2</v>
      </c>
      <c r="AY61" s="16">
        <f t="shared" si="104"/>
        <v>1</v>
      </c>
      <c r="AZ61" s="16">
        <f t="shared" si="105"/>
        <v>3</v>
      </c>
      <c r="BA61" s="17">
        <f t="shared" si="106"/>
        <v>3</v>
      </c>
    </row>
    <row r="62" spans="1:53" ht="15.6" x14ac:dyDescent="0.3">
      <c r="A62" s="199" t="s">
        <v>28</v>
      </c>
      <c r="B62" s="257">
        <v>43983</v>
      </c>
      <c r="C62" s="233">
        <v>44012</v>
      </c>
      <c r="D62" s="95">
        <v>3260</v>
      </c>
      <c r="E62" s="98">
        <v>800</v>
      </c>
      <c r="F62" s="97">
        <v>0</v>
      </c>
      <c r="G62" s="99">
        <v>7560</v>
      </c>
      <c r="H62" s="98">
        <v>940</v>
      </c>
      <c r="I62" s="97">
        <v>0</v>
      </c>
      <c r="J62" s="99">
        <v>6200</v>
      </c>
      <c r="K62" s="98">
        <v>2540</v>
      </c>
      <c r="L62" s="97">
        <v>0</v>
      </c>
      <c r="M62" s="99">
        <v>6300</v>
      </c>
      <c r="N62" s="98">
        <v>2908</v>
      </c>
      <c r="O62" s="97">
        <v>0</v>
      </c>
      <c r="P62" s="99">
        <v>4050</v>
      </c>
      <c r="Q62" s="98">
        <v>1650</v>
      </c>
      <c r="R62" s="97">
        <v>0</v>
      </c>
      <c r="S62" s="99">
        <v>2100</v>
      </c>
      <c r="T62" s="98">
        <v>1390</v>
      </c>
      <c r="U62" s="97">
        <v>0</v>
      </c>
      <c r="V62" s="99">
        <v>3830</v>
      </c>
      <c r="W62" s="98">
        <v>2540</v>
      </c>
      <c r="X62" s="97">
        <v>0</v>
      </c>
      <c r="Y62" s="99">
        <v>2430</v>
      </c>
      <c r="Z62" s="98">
        <v>1060</v>
      </c>
      <c r="AA62" s="97">
        <v>0</v>
      </c>
      <c r="AB62" s="95">
        <v>3550</v>
      </c>
      <c r="AC62" s="98">
        <v>1100</v>
      </c>
      <c r="AD62" s="100">
        <v>0</v>
      </c>
      <c r="AE62" s="99">
        <v>3210</v>
      </c>
      <c r="AF62" s="98">
        <v>2870</v>
      </c>
      <c r="AG62" s="97">
        <v>0</v>
      </c>
      <c r="AH62" s="265">
        <f>+Janvier!AJ62</f>
        <v>3546.2225274725279</v>
      </c>
      <c r="AI62" s="231">
        <f>+Janvier!AK62</f>
        <v>11032.692307692307</v>
      </c>
      <c r="AJ62" s="231">
        <f>+Janvier!AL62</f>
        <v>8274.5192307692305</v>
      </c>
      <c r="AK62" s="231">
        <f>+Janvier!AM62</f>
        <v>8274.5192307692305</v>
      </c>
      <c r="AL62" s="231">
        <f>+Janvier!AN62</f>
        <v>5014.8601398601395</v>
      </c>
      <c r="AM62" s="231">
        <f>+Janvier!AO62</f>
        <v>3102.9447115384614</v>
      </c>
      <c r="AN62" s="231">
        <f>+Janvier!AP62</f>
        <v>6205.8894230769229</v>
      </c>
      <c r="AO62" s="231">
        <f>+Janvier!AQ62</f>
        <v>3102.9447115384614</v>
      </c>
      <c r="AP62" s="231">
        <f>+Janvier!AR62</f>
        <v>3102.9447115384614</v>
      </c>
      <c r="AQ62" s="231">
        <f>+Janvier!AS62</f>
        <v>5516.3461538461534</v>
      </c>
      <c r="AR62" s="16">
        <f t="shared" si="97"/>
        <v>1</v>
      </c>
      <c r="AS62" s="16">
        <f t="shared" si="98"/>
        <v>0</v>
      </c>
      <c r="AT62" s="16">
        <f t="shared" si="99"/>
        <v>2</v>
      </c>
      <c r="AU62" s="16">
        <f t="shared" si="100"/>
        <v>2</v>
      </c>
      <c r="AV62" s="16">
        <f t="shared" si="101"/>
        <v>2</v>
      </c>
      <c r="AW62" s="16">
        <f t="shared" si="102"/>
        <v>2</v>
      </c>
      <c r="AX62" s="16">
        <f t="shared" si="103"/>
        <v>2</v>
      </c>
      <c r="AY62" s="16">
        <f t="shared" si="104"/>
        <v>2</v>
      </c>
      <c r="AZ62" s="16">
        <f t="shared" si="105"/>
        <v>2</v>
      </c>
      <c r="BA62" s="17">
        <f t="shared" si="106"/>
        <v>3</v>
      </c>
    </row>
    <row r="63" spans="1:53" ht="15.6" x14ac:dyDescent="0.3">
      <c r="A63" s="199" t="s">
        <v>29</v>
      </c>
      <c r="B63" s="257">
        <v>43983</v>
      </c>
      <c r="C63" s="233">
        <v>44012</v>
      </c>
      <c r="D63" s="95">
        <v>1340</v>
      </c>
      <c r="E63" s="98">
        <v>160</v>
      </c>
      <c r="F63" s="97">
        <v>0</v>
      </c>
      <c r="G63" s="99">
        <v>4000</v>
      </c>
      <c r="H63" s="98">
        <v>2380</v>
      </c>
      <c r="I63" s="97">
        <v>0</v>
      </c>
      <c r="J63" s="99">
        <v>3230</v>
      </c>
      <c r="K63" s="98">
        <v>1930</v>
      </c>
      <c r="L63" s="97">
        <v>0</v>
      </c>
      <c r="M63" s="99">
        <v>3248</v>
      </c>
      <c r="N63" s="98">
        <v>2072</v>
      </c>
      <c r="O63" s="97">
        <v>0</v>
      </c>
      <c r="P63" s="99">
        <v>1400</v>
      </c>
      <c r="Q63" s="98">
        <v>1250</v>
      </c>
      <c r="R63" s="97">
        <v>0</v>
      </c>
      <c r="S63" s="99">
        <v>1340</v>
      </c>
      <c r="T63" s="98">
        <v>1010</v>
      </c>
      <c r="U63" s="97">
        <v>0</v>
      </c>
      <c r="V63" s="99">
        <v>0</v>
      </c>
      <c r="W63" s="98">
        <v>350</v>
      </c>
      <c r="X63" s="97">
        <v>0</v>
      </c>
      <c r="Y63" s="99">
        <v>530</v>
      </c>
      <c r="Z63" s="98">
        <v>80</v>
      </c>
      <c r="AA63" s="97">
        <v>0</v>
      </c>
      <c r="AB63" s="95">
        <v>1700</v>
      </c>
      <c r="AC63" s="98">
        <v>470</v>
      </c>
      <c r="AD63" s="97">
        <v>0</v>
      </c>
      <c r="AE63" s="99">
        <v>610</v>
      </c>
      <c r="AF63" s="98">
        <v>1250</v>
      </c>
      <c r="AG63" s="97">
        <v>0</v>
      </c>
      <c r="AH63" s="265">
        <f>+Janvier!AJ63</f>
        <v>2493.4203296703299</v>
      </c>
      <c r="AI63" s="231">
        <f>+Janvier!AK63</f>
        <v>7757.3076923076942</v>
      </c>
      <c r="AJ63" s="231">
        <f>+Janvier!AL63</f>
        <v>5817.9807692307704</v>
      </c>
      <c r="AK63" s="231">
        <f>+Janvier!AM63</f>
        <v>5817.9807692307704</v>
      </c>
      <c r="AL63" s="231">
        <f>+Janvier!AN63</f>
        <v>3526.0489510489515</v>
      </c>
      <c r="AM63" s="231">
        <f>+Janvier!AO63</f>
        <v>2181.7427884615386</v>
      </c>
      <c r="AN63" s="231">
        <f>+Janvier!AP63</f>
        <v>4363.4855769230771</v>
      </c>
      <c r="AO63" s="231">
        <f>+Janvier!AQ63</f>
        <v>2181.7427884615386</v>
      </c>
      <c r="AP63" s="231">
        <f>+Janvier!AR63</f>
        <v>2181.7427884615386</v>
      </c>
      <c r="AQ63" s="231">
        <f>+Janvier!AS63</f>
        <v>3878.6538461538471</v>
      </c>
      <c r="AR63" s="16">
        <f t="shared" si="97"/>
        <v>0</v>
      </c>
      <c r="AS63" s="16">
        <f t="shared" si="98"/>
        <v>2</v>
      </c>
      <c r="AT63" s="16">
        <f t="shared" si="99"/>
        <v>2</v>
      </c>
      <c r="AU63" s="16">
        <f t="shared" si="100"/>
        <v>2</v>
      </c>
      <c r="AV63" s="16">
        <f t="shared" si="101"/>
        <v>2</v>
      </c>
      <c r="AW63" s="16">
        <f t="shared" si="102"/>
        <v>2</v>
      </c>
      <c r="AX63" s="16">
        <f t="shared" si="103"/>
        <v>0</v>
      </c>
      <c r="AY63" s="16">
        <f t="shared" si="104"/>
        <v>0</v>
      </c>
      <c r="AZ63" s="16">
        <f t="shared" si="105"/>
        <v>1</v>
      </c>
      <c r="BA63" s="17">
        <f t="shared" si="106"/>
        <v>2</v>
      </c>
    </row>
    <row r="64" spans="1:53" ht="15.6" x14ac:dyDescent="0.3">
      <c r="A64" s="199" t="s">
        <v>30</v>
      </c>
      <c r="B64" s="257">
        <v>43983</v>
      </c>
      <c r="C64" s="233">
        <v>44012</v>
      </c>
      <c r="D64" s="95">
        <v>1000</v>
      </c>
      <c r="E64" s="98">
        <v>1640</v>
      </c>
      <c r="F64" s="97">
        <v>0</v>
      </c>
      <c r="G64" s="99">
        <v>2200</v>
      </c>
      <c r="H64" s="98">
        <v>3920</v>
      </c>
      <c r="I64" s="97">
        <v>0</v>
      </c>
      <c r="J64" s="99">
        <v>1800</v>
      </c>
      <c r="K64" s="98">
        <v>2690</v>
      </c>
      <c r="L64" s="97">
        <v>0</v>
      </c>
      <c r="M64" s="99">
        <v>2028</v>
      </c>
      <c r="N64" s="98">
        <v>2940</v>
      </c>
      <c r="O64" s="97">
        <v>0</v>
      </c>
      <c r="P64" s="99">
        <v>1100</v>
      </c>
      <c r="Q64" s="98">
        <v>1875</v>
      </c>
      <c r="R64" s="97">
        <v>0</v>
      </c>
      <c r="S64" s="99">
        <v>500</v>
      </c>
      <c r="T64" s="98">
        <v>990</v>
      </c>
      <c r="U64" s="97">
        <v>0</v>
      </c>
      <c r="V64" s="99">
        <v>700</v>
      </c>
      <c r="W64" s="98">
        <v>2380</v>
      </c>
      <c r="X64" s="97">
        <v>0</v>
      </c>
      <c r="Y64" s="99">
        <v>500</v>
      </c>
      <c r="Z64" s="98">
        <v>1170</v>
      </c>
      <c r="AA64" s="97">
        <v>0</v>
      </c>
      <c r="AB64" s="95">
        <v>1200</v>
      </c>
      <c r="AC64" s="98">
        <v>1370</v>
      </c>
      <c r="AD64" s="97">
        <v>0</v>
      </c>
      <c r="AE64" s="99">
        <v>870</v>
      </c>
      <c r="AF64" s="98">
        <v>2450</v>
      </c>
      <c r="AG64" s="97">
        <v>0</v>
      </c>
      <c r="AH64" s="265">
        <f>+Janvier!AJ64</f>
        <v>1338.1318681318683</v>
      </c>
      <c r="AI64" s="231">
        <f>+Janvier!AK64</f>
        <v>4163.0769230769229</v>
      </c>
      <c r="AJ64" s="231">
        <f>+Janvier!AL64</f>
        <v>3122.3076923076928</v>
      </c>
      <c r="AK64" s="231">
        <f>+Janvier!AM64</f>
        <v>3122.3076923076928</v>
      </c>
      <c r="AL64" s="231">
        <f>+Janvier!AN64</f>
        <v>1892.3076923076926</v>
      </c>
      <c r="AM64" s="231">
        <f>+Janvier!AO64</f>
        <v>1170.8653846153848</v>
      </c>
      <c r="AN64" s="231">
        <f>+Janvier!AP64</f>
        <v>2341.7307692307695</v>
      </c>
      <c r="AO64" s="231">
        <f>+Janvier!AQ64</f>
        <v>1170.8653846153848</v>
      </c>
      <c r="AP64" s="231">
        <f>+Janvier!AR64</f>
        <v>1170.8653846153848</v>
      </c>
      <c r="AQ64" s="231">
        <f>+Janvier!AS64</f>
        <v>2081.5384615384614</v>
      </c>
      <c r="AR64" s="16">
        <f t="shared" si="97"/>
        <v>6</v>
      </c>
      <c r="AS64" s="16">
        <f t="shared" si="98"/>
        <v>5</v>
      </c>
      <c r="AT64" s="16">
        <f t="shared" si="99"/>
        <v>4</v>
      </c>
      <c r="AU64" s="16">
        <f t="shared" si="100"/>
        <v>5</v>
      </c>
      <c r="AV64" s="16">
        <f t="shared" si="101"/>
        <v>5</v>
      </c>
      <c r="AW64" s="16">
        <f t="shared" si="102"/>
        <v>4</v>
      </c>
      <c r="AX64" s="16">
        <f t="shared" si="103"/>
        <v>5</v>
      </c>
      <c r="AY64" s="16">
        <f t="shared" si="104"/>
        <v>5</v>
      </c>
      <c r="AZ64" s="16">
        <f t="shared" si="105"/>
        <v>6</v>
      </c>
      <c r="BA64" s="17">
        <f t="shared" si="106"/>
        <v>6</v>
      </c>
    </row>
    <row r="65" spans="1:53" ht="15.6" x14ac:dyDescent="0.3">
      <c r="A65" s="199" t="s">
        <v>31</v>
      </c>
      <c r="B65" s="257">
        <v>43983</v>
      </c>
      <c r="C65" s="233">
        <v>44012</v>
      </c>
      <c r="D65" s="95">
        <v>2000</v>
      </c>
      <c r="E65" s="98">
        <v>60</v>
      </c>
      <c r="F65" s="97">
        <v>0</v>
      </c>
      <c r="G65" s="99">
        <v>7000</v>
      </c>
      <c r="H65" s="98">
        <v>40</v>
      </c>
      <c r="I65" s="97">
        <v>0</v>
      </c>
      <c r="J65" s="99">
        <v>4500</v>
      </c>
      <c r="K65" s="98">
        <v>500</v>
      </c>
      <c r="L65" s="97">
        <v>0</v>
      </c>
      <c r="M65" s="99">
        <v>4000</v>
      </c>
      <c r="N65" s="98">
        <v>132</v>
      </c>
      <c r="O65" s="97">
        <v>0</v>
      </c>
      <c r="P65" s="99">
        <v>2500</v>
      </c>
      <c r="Q65" s="98">
        <v>120</v>
      </c>
      <c r="R65" s="97">
        <v>0</v>
      </c>
      <c r="S65" s="99">
        <v>1020</v>
      </c>
      <c r="T65" s="98">
        <v>550</v>
      </c>
      <c r="U65" s="97">
        <v>0</v>
      </c>
      <c r="V65" s="99">
        <v>3000</v>
      </c>
      <c r="W65" s="98">
        <v>640</v>
      </c>
      <c r="X65" s="97">
        <v>0</v>
      </c>
      <c r="Y65" s="99">
        <v>1500</v>
      </c>
      <c r="Z65" s="98">
        <v>20</v>
      </c>
      <c r="AA65" s="97">
        <v>0</v>
      </c>
      <c r="AB65" s="95">
        <v>2100</v>
      </c>
      <c r="AC65" s="98">
        <v>120</v>
      </c>
      <c r="AD65" s="97">
        <v>0</v>
      </c>
      <c r="AE65" s="99">
        <v>2000</v>
      </c>
      <c r="AF65" s="98">
        <v>20</v>
      </c>
      <c r="AG65" s="97">
        <v>0</v>
      </c>
      <c r="AH65" s="265">
        <f>+Janvier!AJ65</f>
        <v>2561.7857142857147</v>
      </c>
      <c r="AI65" s="231">
        <f>+Janvier!AK65</f>
        <v>7970</v>
      </c>
      <c r="AJ65" s="231">
        <f>+Janvier!AL65</f>
        <v>5977.4999999999991</v>
      </c>
      <c r="AK65" s="231">
        <f>+Janvier!AM65</f>
        <v>5977.4999999999991</v>
      </c>
      <c r="AL65" s="231">
        <f>+Janvier!AN65</f>
        <v>3622.727272727273</v>
      </c>
      <c r="AM65" s="231">
        <f>+Janvier!AO65</f>
        <v>2241.5625</v>
      </c>
      <c r="AN65" s="231">
        <f>+Janvier!AP65</f>
        <v>4483.125</v>
      </c>
      <c r="AO65" s="231">
        <f>+Janvier!AQ65</f>
        <v>2241.5625</v>
      </c>
      <c r="AP65" s="231">
        <f>+Janvier!AR65</f>
        <v>2241.5625</v>
      </c>
      <c r="AQ65" s="231">
        <f>+Janvier!AS65</f>
        <v>3985</v>
      </c>
      <c r="AR65" s="16">
        <f t="shared" si="97"/>
        <v>0</v>
      </c>
      <c r="AS65" s="16">
        <f t="shared" si="98"/>
        <v>0</v>
      </c>
      <c r="AT65" s="16">
        <f t="shared" si="99"/>
        <v>0</v>
      </c>
      <c r="AU65" s="16">
        <f t="shared" si="100"/>
        <v>0</v>
      </c>
      <c r="AV65" s="16">
        <f t="shared" si="101"/>
        <v>0</v>
      </c>
      <c r="AW65" s="16">
        <f t="shared" si="102"/>
        <v>1</v>
      </c>
      <c r="AX65" s="16">
        <f t="shared" si="103"/>
        <v>1</v>
      </c>
      <c r="AY65" s="16">
        <f t="shared" si="104"/>
        <v>0</v>
      </c>
      <c r="AZ65" s="16">
        <f t="shared" si="105"/>
        <v>0</v>
      </c>
      <c r="BA65" s="17">
        <f t="shared" si="106"/>
        <v>0</v>
      </c>
    </row>
    <row r="66" spans="1:53" ht="15.6" x14ac:dyDescent="0.3">
      <c r="A66" s="199" t="s">
        <v>32</v>
      </c>
      <c r="B66" s="257">
        <v>43983</v>
      </c>
      <c r="C66" s="233">
        <v>44012</v>
      </c>
      <c r="D66" s="95">
        <v>1700</v>
      </c>
      <c r="E66" s="98">
        <v>1120</v>
      </c>
      <c r="F66" s="97">
        <v>0</v>
      </c>
      <c r="G66" s="99">
        <v>5400</v>
      </c>
      <c r="H66" s="98">
        <v>3400</v>
      </c>
      <c r="I66" s="97">
        <v>0</v>
      </c>
      <c r="J66" s="99">
        <v>3710</v>
      </c>
      <c r="K66" s="98">
        <v>2230</v>
      </c>
      <c r="L66" s="97">
        <v>0</v>
      </c>
      <c r="M66" s="99">
        <v>3660</v>
      </c>
      <c r="N66" s="98">
        <v>2340</v>
      </c>
      <c r="O66" s="97">
        <v>0</v>
      </c>
      <c r="P66" s="99">
        <v>2400</v>
      </c>
      <c r="Q66" s="98">
        <v>1568</v>
      </c>
      <c r="R66" s="97">
        <v>0</v>
      </c>
      <c r="S66" s="99">
        <v>1330</v>
      </c>
      <c r="T66" s="98">
        <v>815</v>
      </c>
      <c r="U66" s="97">
        <v>0</v>
      </c>
      <c r="V66" s="99">
        <v>2500</v>
      </c>
      <c r="W66" s="98">
        <v>2280</v>
      </c>
      <c r="X66" s="97">
        <v>0</v>
      </c>
      <c r="Y66" s="99">
        <v>1360</v>
      </c>
      <c r="Z66" s="98">
        <v>1050</v>
      </c>
      <c r="AA66" s="97">
        <v>0</v>
      </c>
      <c r="AB66" s="95">
        <v>2000</v>
      </c>
      <c r="AC66" s="98">
        <v>1150</v>
      </c>
      <c r="AD66" s="97">
        <v>0</v>
      </c>
      <c r="AE66" s="99">
        <v>1600</v>
      </c>
      <c r="AF66" s="98">
        <v>1790</v>
      </c>
      <c r="AG66" s="97">
        <v>0</v>
      </c>
      <c r="AH66" s="265">
        <f>+Janvier!AJ66</f>
        <v>1732.3763736263736</v>
      </c>
      <c r="AI66" s="231">
        <f>+Janvier!AK66</f>
        <v>5389.6153846153857</v>
      </c>
      <c r="AJ66" s="231">
        <f>+Janvier!AL66</f>
        <v>4042.211538461539</v>
      </c>
      <c r="AK66" s="231">
        <f>+Janvier!AM66</f>
        <v>4042.211538461539</v>
      </c>
      <c r="AL66" s="231">
        <f>+Janvier!AN66</f>
        <v>2449.8251748251751</v>
      </c>
      <c r="AM66" s="231">
        <f>+Janvier!AO66</f>
        <v>1515.8293269230767</v>
      </c>
      <c r="AN66" s="231">
        <f>+Janvier!AP66</f>
        <v>3031.6586538461534</v>
      </c>
      <c r="AO66" s="231">
        <f>+Janvier!AQ66</f>
        <v>1515.8293269230767</v>
      </c>
      <c r="AP66" s="231">
        <f>+Janvier!AR66</f>
        <v>1515.8293269230767</v>
      </c>
      <c r="AQ66" s="231">
        <f>+Janvier!AS66</f>
        <v>2694.8076923076928</v>
      </c>
      <c r="AR66" s="16">
        <f t="shared" si="97"/>
        <v>3</v>
      </c>
      <c r="AS66" s="16">
        <f t="shared" si="98"/>
        <v>3</v>
      </c>
      <c r="AT66" s="16">
        <f t="shared" si="99"/>
        <v>3</v>
      </c>
      <c r="AU66" s="16">
        <f t="shared" si="100"/>
        <v>3</v>
      </c>
      <c r="AV66" s="16">
        <f t="shared" si="101"/>
        <v>3</v>
      </c>
      <c r="AW66" s="16">
        <f t="shared" si="102"/>
        <v>3</v>
      </c>
      <c r="AX66" s="16">
        <f t="shared" si="103"/>
        <v>4</v>
      </c>
      <c r="AY66" s="16">
        <f t="shared" si="104"/>
        <v>3</v>
      </c>
      <c r="AZ66" s="16">
        <f t="shared" si="105"/>
        <v>4</v>
      </c>
      <c r="BA66" s="17">
        <f t="shared" si="106"/>
        <v>3</v>
      </c>
    </row>
    <row r="67" spans="1:53" ht="16.2" thickBot="1" x14ac:dyDescent="0.35">
      <c r="A67" s="199" t="s">
        <v>33</v>
      </c>
      <c r="B67" s="270">
        <v>43983</v>
      </c>
      <c r="C67" s="271">
        <v>44012</v>
      </c>
      <c r="D67" s="111">
        <v>920</v>
      </c>
      <c r="E67" s="263">
        <v>1600</v>
      </c>
      <c r="F67" s="110">
        <v>0</v>
      </c>
      <c r="G67" s="264">
        <v>2000</v>
      </c>
      <c r="H67" s="263">
        <v>4080</v>
      </c>
      <c r="I67" s="110">
        <v>0</v>
      </c>
      <c r="J67" s="264">
        <v>1290</v>
      </c>
      <c r="K67" s="263">
        <v>3060</v>
      </c>
      <c r="L67" s="110">
        <v>0</v>
      </c>
      <c r="M67" s="264">
        <v>1200</v>
      </c>
      <c r="N67" s="263">
        <v>3060</v>
      </c>
      <c r="O67" s="110">
        <v>0</v>
      </c>
      <c r="P67" s="264">
        <v>900</v>
      </c>
      <c r="Q67" s="263">
        <v>1978</v>
      </c>
      <c r="R67" s="110">
        <v>0</v>
      </c>
      <c r="S67" s="264">
        <v>310</v>
      </c>
      <c r="T67" s="263">
        <v>1020</v>
      </c>
      <c r="U67" s="110">
        <v>0</v>
      </c>
      <c r="V67" s="264">
        <v>740</v>
      </c>
      <c r="W67" s="263">
        <v>2430</v>
      </c>
      <c r="X67" s="110">
        <v>0</v>
      </c>
      <c r="Y67" s="264">
        <v>520</v>
      </c>
      <c r="Z67" s="263">
        <v>1220</v>
      </c>
      <c r="AA67" s="110">
        <v>0</v>
      </c>
      <c r="AB67" s="111">
        <v>1210</v>
      </c>
      <c r="AC67" s="263">
        <v>1220</v>
      </c>
      <c r="AD67" s="110">
        <v>0</v>
      </c>
      <c r="AE67" s="266">
        <v>740</v>
      </c>
      <c r="AF67" s="267">
        <v>2550</v>
      </c>
      <c r="AG67" s="261">
        <v>0</v>
      </c>
      <c r="AH67" s="265">
        <f>+Janvier!AJ67</f>
        <v>1391.4148351648353</v>
      </c>
      <c r="AI67" s="231">
        <f>+Janvier!AK67</f>
        <v>4328.8461538461534</v>
      </c>
      <c r="AJ67" s="231">
        <f>+Janvier!AL67</f>
        <v>3246.6346153846152</v>
      </c>
      <c r="AK67" s="231">
        <f>+Janvier!AM67</f>
        <v>3246.6346153846152</v>
      </c>
      <c r="AL67" s="231">
        <f>+Janvier!AN67</f>
        <v>1967.6573426573427</v>
      </c>
      <c r="AM67" s="231">
        <f>+Janvier!AO67</f>
        <v>1217.4879807692307</v>
      </c>
      <c r="AN67" s="231">
        <f>+Janvier!AP67</f>
        <v>2434.9759615384614</v>
      </c>
      <c r="AO67" s="231">
        <f>+Janvier!AQ67</f>
        <v>1217.4879807692307</v>
      </c>
      <c r="AP67" s="231">
        <f>+Janvier!AR67</f>
        <v>1217.4879807692307</v>
      </c>
      <c r="AQ67" s="231">
        <f>+Janvier!AS67</f>
        <v>2164.4230769230767</v>
      </c>
      <c r="AR67" s="32">
        <f t="shared" si="97"/>
        <v>6</v>
      </c>
      <c r="AS67" s="32">
        <f t="shared" si="98"/>
        <v>5</v>
      </c>
      <c r="AT67" s="32">
        <f t="shared" si="99"/>
        <v>5</v>
      </c>
      <c r="AU67" s="32">
        <f t="shared" si="100"/>
        <v>5</v>
      </c>
      <c r="AV67" s="32">
        <f t="shared" si="101"/>
        <v>5</v>
      </c>
      <c r="AW67" s="32">
        <f t="shared" si="102"/>
        <v>4</v>
      </c>
      <c r="AX67" s="32">
        <f t="shared" si="103"/>
        <v>5</v>
      </c>
      <c r="AY67" s="32">
        <f t="shared" si="104"/>
        <v>5</v>
      </c>
      <c r="AZ67" s="32">
        <f t="shared" si="105"/>
        <v>5</v>
      </c>
      <c r="BA67" s="33">
        <f t="shared" si="106"/>
        <v>6</v>
      </c>
    </row>
    <row r="68" spans="1:53" ht="15.6" x14ac:dyDescent="0.3">
      <c r="A68" s="202" t="s">
        <v>86</v>
      </c>
      <c r="B68" s="256">
        <v>43983</v>
      </c>
      <c r="C68" s="160">
        <v>44012</v>
      </c>
      <c r="D68" s="268">
        <v>0</v>
      </c>
      <c r="E68" s="123">
        <v>46080</v>
      </c>
      <c r="F68" s="124">
        <v>0</v>
      </c>
      <c r="G68" s="125">
        <v>0</v>
      </c>
      <c r="H68" s="123">
        <v>140660</v>
      </c>
      <c r="I68" s="124">
        <v>0</v>
      </c>
      <c r="J68" s="125">
        <v>0</v>
      </c>
      <c r="K68" s="123">
        <v>91600</v>
      </c>
      <c r="L68" s="124">
        <v>0</v>
      </c>
      <c r="M68" s="125">
        <v>0</v>
      </c>
      <c r="N68" s="123">
        <v>105334</v>
      </c>
      <c r="O68" s="124">
        <v>0</v>
      </c>
      <c r="P68" s="125">
        <v>0</v>
      </c>
      <c r="Q68" s="123">
        <v>67779</v>
      </c>
      <c r="R68" s="124">
        <v>0</v>
      </c>
      <c r="S68" s="125">
        <v>0</v>
      </c>
      <c r="T68" s="123">
        <v>32540</v>
      </c>
      <c r="U68" s="124">
        <v>0</v>
      </c>
      <c r="V68" s="125">
        <v>0</v>
      </c>
      <c r="W68" s="123">
        <v>95620</v>
      </c>
      <c r="X68" s="124">
        <v>0</v>
      </c>
      <c r="Y68" s="125">
        <v>0</v>
      </c>
      <c r="Z68" s="123">
        <v>15220</v>
      </c>
      <c r="AA68" s="124">
        <v>0</v>
      </c>
      <c r="AB68" s="125">
        <v>0</v>
      </c>
      <c r="AC68" s="123">
        <v>61300</v>
      </c>
      <c r="AD68" s="124">
        <v>0</v>
      </c>
      <c r="AE68" s="125">
        <v>0</v>
      </c>
      <c r="AF68" s="123">
        <v>82070</v>
      </c>
      <c r="AG68" s="124">
        <v>0</v>
      </c>
      <c r="AH68" s="265">
        <f>+Janvier!AJ68</f>
        <v>88119.9</v>
      </c>
      <c r="AI68" s="231">
        <f>+Janvier!AK68</f>
        <v>305254.47115384619</v>
      </c>
      <c r="AJ68" s="231">
        <f>+Janvier!AL68</f>
        <v>203299.47778846158</v>
      </c>
      <c r="AK68" s="231">
        <f>+Janvier!AM68</f>
        <v>203299.47778846158</v>
      </c>
      <c r="AL68" s="231">
        <f>+Janvier!AN68</f>
        <v>128206.87788461539</v>
      </c>
      <c r="AM68" s="231">
        <f>+Janvier!AO68</f>
        <v>76313.617788461546</v>
      </c>
      <c r="AN68" s="231">
        <f>+Janvier!AP68</f>
        <v>152627.23557692309</v>
      </c>
      <c r="AO68" s="231">
        <f>+Janvier!AQ68</f>
        <v>76313.617788461546</v>
      </c>
      <c r="AP68" s="231">
        <f>+Janvier!AR68</f>
        <v>76313.617788461546</v>
      </c>
      <c r="AQ68" s="231">
        <f>+Janvier!AS68</f>
        <v>136801.52307692307</v>
      </c>
      <c r="AR68" s="16">
        <f>ROUND(E68/(AH68/15),0)</f>
        <v>8</v>
      </c>
      <c r="AS68" s="16">
        <f t="shared" ref="AS68" si="107">ROUND(H68/(AI68/15),0)</f>
        <v>7</v>
      </c>
      <c r="AT68" s="16">
        <f t="shared" ref="AT68" si="108">ROUND(K68/(AJ68/15),0)</f>
        <v>7</v>
      </c>
      <c r="AU68" s="16">
        <f t="shared" ref="AU68" si="109">ROUND(N68/(AK68/15),0)</f>
        <v>8</v>
      </c>
      <c r="AV68" s="16">
        <f t="shared" ref="AV68" si="110">ROUND(Q68/(AL68/15),0)</f>
        <v>8</v>
      </c>
      <c r="AW68" s="16">
        <f t="shared" ref="AW68" si="111">ROUND(T68/(AM68/15),0)</f>
        <v>6</v>
      </c>
      <c r="AX68" s="16">
        <f t="shared" ref="AX68" si="112">ROUND(W68/(AN68/15),0)</f>
        <v>9</v>
      </c>
      <c r="AY68" s="16">
        <f t="shared" ref="AY68" si="113">ROUND(Z68/(AO68/15),0)</f>
        <v>3</v>
      </c>
      <c r="AZ68" s="16">
        <f t="shared" ref="AZ68" si="114">ROUND(AC68/(AP68/15),0)</f>
        <v>12</v>
      </c>
      <c r="BA68" s="17">
        <f t="shared" ref="BA68" si="115">ROUND(AF68/(AQ68/15),0)</f>
        <v>9</v>
      </c>
    </row>
    <row r="69" spans="1:53" ht="15.6" x14ac:dyDescent="0.3">
      <c r="A69" s="199" t="s">
        <v>63</v>
      </c>
      <c r="B69" s="257">
        <v>43983</v>
      </c>
      <c r="C69" s="94">
        <v>44012</v>
      </c>
      <c r="D69" s="237">
        <v>1000</v>
      </c>
      <c r="E69" s="96">
        <v>40</v>
      </c>
      <c r="F69" s="97">
        <v>0</v>
      </c>
      <c r="G69" s="95">
        <v>0</v>
      </c>
      <c r="H69" s="96">
        <v>2300</v>
      </c>
      <c r="I69" s="97">
        <v>0</v>
      </c>
      <c r="J69" s="95">
        <v>1500</v>
      </c>
      <c r="K69" s="96">
        <v>1480</v>
      </c>
      <c r="L69" s="97">
        <v>0</v>
      </c>
      <c r="M69" s="95">
        <v>1400</v>
      </c>
      <c r="N69" s="96">
        <v>1400</v>
      </c>
      <c r="O69" s="97">
        <v>0</v>
      </c>
      <c r="P69" s="95">
        <v>900</v>
      </c>
      <c r="Q69" s="96">
        <v>900</v>
      </c>
      <c r="R69" s="97">
        <v>0</v>
      </c>
      <c r="S69" s="95">
        <v>400</v>
      </c>
      <c r="T69" s="96">
        <v>400</v>
      </c>
      <c r="U69" s="97">
        <v>0</v>
      </c>
      <c r="V69" s="95">
        <v>1000</v>
      </c>
      <c r="W69" s="96">
        <v>1000</v>
      </c>
      <c r="X69" s="97">
        <v>0</v>
      </c>
      <c r="Y69" s="95">
        <v>500</v>
      </c>
      <c r="Z69" s="96">
        <v>500</v>
      </c>
      <c r="AA69" s="97">
        <v>0</v>
      </c>
      <c r="AB69" s="95">
        <v>600</v>
      </c>
      <c r="AC69" s="96">
        <v>600</v>
      </c>
      <c r="AD69" s="97">
        <v>0</v>
      </c>
      <c r="AE69" s="95">
        <v>1000</v>
      </c>
      <c r="AF69" s="96">
        <v>1170</v>
      </c>
      <c r="AG69" s="97">
        <v>0</v>
      </c>
      <c r="AH69" s="265">
        <f>+Janvier!AJ69</f>
        <v>792.19780219780216</v>
      </c>
      <c r="AI69" s="231">
        <f>+Janvier!AK69</f>
        <v>2464.6153846153848</v>
      </c>
      <c r="AJ69" s="231">
        <f>+Janvier!AL69</f>
        <v>1848.4615384615383</v>
      </c>
      <c r="AK69" s="231">
        <f>+Janvier!AM69</f>
        <v>1848.4615384615383</v>
      </c>
      <c r="AL69" s="231">
        <f>+Janvier!AN69</f>
        <v>1120.2797202797203</v>
      </c>
      <c r="AM69" s="231">
        <f>+Janvier!AO69</f>
        <v>693.17307692307691</v>
      </c>
      <c r="AN69" s="231">
        <f>+Janvier!AP69</f>
        <v>1386.3461538461538</v>
      </c>
      <c r="AO69" s="231">
        <f>+Janvier!AQ69</f>
        <v>693.17307692307691</v>
      </c>
      <c r="AP69" s="231">
        <f>+Janvier!AR69</f>
        <v>693.17307692307691</v>
      </c>
      <c r="AQ69" s="231">
        <f>+Janvier!AS69</f>
        <v>1232.3076923076924</v>
      </c>
      <c r="AR69" s="16">
        <f t="shared" ref="AR69:AR79" si="116">ROUND(E69/(AH69/5),0)</f>
        <v>0</v>
      </c>
      <c r="AS69" s="16">
        <f t="shared" ref="AS69:AS79" si="117">ROUND(H69/(AI69/5),0)</f>
        <v>5</v>
      </c>
      <c r="AT69" s="16">
        <f t="shared" ref="AT69:AT79" si="118">ROUND(K69/(AJ69/5),0)</f>
        <v>4</v>
      </c>
      <c r="AU69" s="16">
        <f t="shared" ref="AU69:AU79" si="119">ROUND(N69/(AK69/5),0)</f>
        <v>4</v>
      </c>
      <c r="AV69" s="16">
        <f t="shared" ref="AV69:AV79" si="120">ROUND(Q69/(AL69/5),0)</f>
        <v>4</v>
      </c>
      <c r="AW69" s="16">
        <f t="shared" ref="AW69:AW79" si="121">ROUND(T69/(AM69/5),0)</f>
        <v>3</v>
      </c>
      <c r="AX69" s="16">
        <f t="shared" ref="AX69:AX79" si="122">ROUND(W69/(AN69/5),0)</f>
        <v>4</v>
      </c>
      <c r="AY69" s="16">
        <f t="shared" ref="AY69:AY79" si="123">ROUND(Z69/(AO69/5),0)</f>
        <v>4</v>
      </c>
      <c r="AZ69" s="16">
        <f t="shared" ref="AZ69:AZ79" si="124">ROUND(AC69/(AP69/5),0)</f>
        <v>4</v>
      </c>
      <c r="BA69" s="17">
        <f t="shared" ref="BA69:BA79" si="125">ROUND(AF69/(AQ69/5),0)</f>
        <v>5</v>
      </c>
    </row>
    <row r="70" spans="1:53" ht="15.6" x14ac:dyDescent="0.3">
      <c r="A70" s="199" t="s">
        <v>64</v>
      </c>
      <c r="B70" s="257">
        <v>43983</v>
      </c>
      <c r="C70" s="94">
        <v>44012</v>
      </c>
      <c r="D70" s="237">
        <v>1840</v>
      </c>
      <c r="E70" s="96">
        <v>240</v>
      </c>
      <c r="F70" s="97">
        <v>0</v>
      </c>
      <c r="G70" s="95">
        <v>4600</v>
      </c>
      <c r="H70" s="96">
        <v>340</v>
      </c>
      <c r="I70" s="97">
        <v>0</v>
      </c>
      <c r="J70" s="95">
        <v>3640</v>
      </c>
      <c r="K70" s="96">
        <v>320</v>
      </c>
      <c r="L70" s="97">
        <v>0</v>
      </c>
      <c r="M70" s="95">
        <v>3640</v>
      </c>
      <c r="N70" s="96">
        <v>300</v>
      </c>
      <c r="O70" s="97">
        <v>0</v>
      </c>
      <c r="P70" s="95">
        <v>1836</v>
      </c>
      <c r="Q70" s="96">
        <v>100</v>
      </c>
      <c r="R70" s="97">
        <v>0</v>
      </c>
      <c r="S70" s="95">
        <v>1060</v>
      </c>
      <c r="T70" s="96">
        <v>120</v>
      </c>
      <c r="U70" s="97">
        <v>0</v>
      </c>
      <c r="V70" s="95">
        <v>2900</v>
      </c>
      <c r="W70" s="96">
        <v>610</v>
      </c>
      <c r="X70" s="97">
        <v>0</v>
      </c>
      <c r="Y70" s="95">
        <v>1500</v>
      </c>
      <c r="Z70" s="96">
        <v>150</v>
      </c>
      <c r="AA70" s="97">
        <v>0</v>
      </c>
      <c r="AB70" s="95">
        <v>2900</v>
      </c>
      <c r="AC70" s="96">
        <v>120</v>
      </c>
      <c r="AD70" s="97">
        <v>0</v>
      </c>
      <c r="AE70" s="95">
        <v>3040</v>
      </c>
      <c r="AF70" s="96">
        <v>240</v>
      </c>
      <c r="AG70" s="97">
        <v>0</v>
      </c>
      <c r="AH70" s="265">
        <f>+Janvier!AJ70</f>
        <v>1980.7417582417584</v>
      </c>
      <c r="AI70" s="231">
        <f>+Janvier!AK70</f>
        <v>6162.3076923076933</v>
      </c>
      <c r="AJ70" s="231">
        <f>+Janvier!AL70</f>
        <v>4621.7307692307704</v>
      </c>
      <c r="AK70" s="231">
        <f>+Janvier!AM70</f>
        <v>4621.7307692307704</v>
      </c>
      <c r="AL70" s="231">
        <f>+Janvier!AN70</f>
        <v>2801.0489510489515</v>
      </c>
      <c r="AM70" s="231">
        <f>+Janvier!AO70</f>
        <v>1733.1490384615383</v>
      </c>
      <c r="AN70" s="231">
        <f>+Janvier!AP70</f>
        <v>3466.2980769230767</v>
      </c>
      <c r="AO70" s="231">
        <f>+Janvier!AQ70</f>
        <v>1733.1490384615383</v>
      </c>
      <c r="AP70" s="231">
        <f>+Janvier!AR70</f>
        <v>1733.1490384615383</v>
      </c>
      <c r="AQ70" s="231">
        <f>+Janvier!AS70</f>
        <v>3081.1538461538466</v>
      </c>
      <c r="AR70" s="16">
        <f t="shared" si="116"/>
        <v>1</v>
      </c>
      <c r="AS70" s="16">
        <f t="shared" si="117"/>
        <v>0</v>
      </c>
      <c r="AT70" s="16">
        <f t="shared" si="118"/>
        <v>0</v>
      </c>
      <c r="AU70" s="16">
        <f t="shared" si="119"/>
        <v>0</v>
      </c>
      <c r="AV70" s="16">
        <f t="shared" si="120"/>
        <v>0</v>
      </c>
      <c r="AW70" s="16">
        <f t="shared" si="121"/>
        <v>0</v>
      </c>
      <c r="AX70" s="16">
        <f t="shared" si="122"/>
        <v>1</v>
      </c>
      <c r="AY70" s="16">
        <f t="shared" si="123"/>
        <v>0</v>
      </c>
      <c r="AZ70" s="16">
        <f t="shared" si="124"/>
        <v>0</v>
      </c>
      <c r="BA70" s="17">
        <f t="shared" si="125"/>
        <v>0</v>
      </c>
    </row>
    <row r="71" spans="1:53" ht="15.6" x14ac:dyDescent="0.3">
      <c r="A71" s="199" t="s">
        <v>65</v>
      </c>
      <c r="B71" s="257">
        <v>43983</v>
      </c>
      <c r="C71" s="94">
        <v>44012</v>
      </c>
      <c r="D71" s="237">
        <v>1860</v>
      </c>
      <c r="E71" s="96">
        <v>900</v>
      </c>
      <c r="F71" s="97">
        <v>0</v>
      </c>
      <c r="G71" s="95">
        <v>6700</v>
      </c>
      <c r="H71" s="96">
        <v>1600</v>
      </c>
      <c r="I71" s="97">
        <v>0</v>
      </c>
      <c r="J71" s="95">
        <v>5030</v>
      </c>
      <c r="K71" s="96">
        <v>300</v>
      </c>
      <c r="L71" s="97">
        <v>0</v>
      </c>
      <c r="M71" s="95">
        <v>4800</v>
      </c>
      <c r="N71" s="96">
        <v>1208</v>
      </c>
      <c r="O71" s="97">
        <v>0</v>
      </c>
      <c r="P71" s="95">
        <v>2035</v>
      </c>
      <c r="Q71" s="96">
        <v>468</v>
      </c>
      <c r="R71" s="97">
        <v>0</v>
      </c>
      <c r="S71" s="95">
        <v>1680</v>
      </c>
      <c r="T71" s="96">
        <v>600</v>
      </c>
      <c r="U71" s="97">
        <v>0</v>
      </c>
      <c r="V71" s="95">
        <v>3200</v>
      </c>
      <c r="W71" s="96">
        <v>580</v>
      </c>
      <c r="X71" s="97">
        <v>0</v>
      </c>
      <c r="Y71" s="95">
        <v>2350</v>
      </c>
      <c r="Z71" s="96">
        <v>310</v>
      </c>
      <c r="AA71" s="97">
        <v>0</v>
      </c>
      <c r="AB71" s="95">
        <v>1880</v>
      </c>
      <c r="AC71" s="96">
        <v>10</v>
      </c>
      <c r="AD71" s="97">
        <v>0</v>
      </c>
      <c r="AE71" s="95">
        <v>3130</v>
      </c>
      <c r="AF71" s="96">
        <v>920</v>
      </c>
      <c r="AG71" s="97">
        <v>0</v>
      </c>
      <c r="AH71" s="265">
        <f>+Janvier!AJ71</f>
        <v>2906.4560439560446</v>
      </c>
      <c r="AI71" s="231">
        <f>+Janvier!AK71</f>
        <v>9042.3076923076933</v>
      </c>
      <c r="AJ71" s="231">
        <f>+Janvier!AL71</f>
        <v>6781.7307692307695</v>
      </c>
      <c r="AK71" s="231">
        <f>+Janvier!AM71</f>
        <v>6781.7307692307695</v>
      </c>
      <c r="AL71" s="231">
        <f>+Janvier!AN71</f>
        <v>4110.1398601398605</v>
      </c>
      <c r="AM71" s="231">
        <f>+Janvier!AO71</f>
        <v>2543.1490384615386</v>
      </c>
      <c r="AN71" s="231">
        <f>+Janvier!AP71</f>
        <v>5086.2980769230771</v>
      </c>
      <c r="AO71" s="231">
        <f>+Janvier!AQ71</f>
        <v>2543.1490384615386</v>
      </c>
      <c r="AP71" s="231">
        <f>+Janvier!AR71</f>
        <v>2543.1490384615386</v>
      </c>
      <c r="AQ71" s="231">
        <f>+Janvier!AS71</f>
        <v>4521.1538461538466</v>
      </c>
      <c r="AR71" s="16">
        <f t="shared" si="116"/>
        <v>2</v>
      </c>
      <c r="AS71" s="16">
        <f t="shared" si="117"/>
        <v>1</v>
      </c>
      <c r="AT71" s="16">
        <f t="shared" si="118"/>
        <v>0</v>
      </c>
      <c r="AU71" s="16">
        <f t="shared" si="119"/>
        <v>1</v>
      </c>
      <c r="AV71" s="16">
        <f t="shared" si="120"/>
        <v>1</v>
      </c>
      <c r="AW71" s="16">
        <f t="shared" si="121"/>
        <v>1</v>
      </c>
      <c r="AX71" s="16">
        <f t="shared" si="122"/>
        <v>1</v>
      </c>
      <c r="AY71" s="16">
        <f t="shared" si="123"/>
        <v>1</v>
      </c>
      <c r="AZ71" s="16">
        <f t="shared" si="124"/>
        <v>0</v>
      </c>
      <c r="BA71" s="17">
        <f t="shared" si="125"/>
        <v>1</v>
      </c>
    </row>
    <row r="72" spans="1:53" ht="15.6" x14ac:dyDescent="0.3">
      <c r="A72" s="203" t="s">
        <v>66</v>
      </c>
      <c r="B72" s="257">
        <v>43983</v>
      </c>
      <c r="C72" s="94">
        <v>44012</v>
      </c>
      <c r="D72" s="237">
        <v>2060</v>
      </c>
      <c r="E72" s="96">
        <v>1280</v>
      </c>
      <c r="F72" s="97">
        <v>0</v>
      </c>
      <c r="G72" s="95">
        <v>9240</v>
      </c>
      <c r="H72" s="96">
        <v>4220</v>
      </c>
      <c r="I72" s="97">
        <v>0</v>
      </c>
      <c r="J72" s="95">
        <v>6820</v>
      </c>
      <c r="K72" s="96">
        <v>2670</v>
      </c>
      <c r="L72" s="97">
        <v>0</v>
      </c>
      <c r="M72" s="95">
        <v>6852</v>
      </c>
      <c r="N72" s="96">
        <v>2732</v>
      </c>
      <c r="O72" s="97">
        <v>0</v>
      </c>
      <c r="P72" s="95">
        <v>4390</v>
      </c>
      <c r="Q72" s="96">
        <v>1565</v>
      </c>
      <c r="R72" s="97">
        <v>0</v>
      </c>
      <c r="S72" s="95">
        <v>2790</v>
      </c>
      <c r="T72" s="96">
        <v>1430</v>
      </c>
      <c r="U72" s="97">
        <v>0</v>
      </c>
      <c r="V72" s="95">
        <v>5440</v>
      </c>
      <c r="W72" s="96">
        <v>2820</v>
      </c>
      <c r="X72" s="97">
        <v>0</v>
      </c>
      <c r="Y72" s="95">
        <v>2720</v>
      </c>
      <c r="Z72" s="96">
        <v>1270</v>
      </c>
      <c r="AA72" s="97">
        <v>0</v>
      </c>
      <c r="AB72" s="95">
        <v>2010</v>
      </c>
      <c r="AC72" s="96">
        <v>430</v>
      </c>
      <c r="AD72" s="97">
        <v>0</v>
      </c>
      <c r="AE72" s="95">
        <v>4810</v>
      </c>
      <c r="AF72" s="96">
        <v>2190</v>
      </c>
      <c r="AG72" s="97">
        <v>0</v>
      </c>
      <c r="AH72" s="265">
        <f>+Janvier!AJ72</f>
        <v>2692.335164835165</v>
      </c>
      <c r="AI72" s="231">
        <f>+Janvier!AK72</f>
        <v>8376.1538461538457</v>
      </c>
      <c r="AJ72" s="231">
        <f>+Janvier!AL72</f>
        <v>6282.1153846153857</v>
      </c>
      <c r="AK72" s="231">
        <f>+Janvier!AM72</f>
        <v>6282.1153846153857</v>
      </c>
      <c r="AL72" s="231">
        <f>+Janvier!AN72</f>
        <v>3807.3426573426577</v>
      </c>
      <c r="AM72" s="231">
        <f>+Janvier!AO72</f>
        <v>2355.7932692307695</v>
      </c>
      <c r="AN72" s="231">
        <f>+Janvier!AP72</f>
        <v>4711.586538461539</v>
      </c>
      <c r="AO72" s="231">
        <f>+Janvier!AQ72</f>
        <v>2355.7932692307695</v>
      </c>
      <c r="AP72" s="231">
        <f>+Janvier!AR72</f>
        <v>2355.7932692307695</v>
      </c>
      <c r="AQ72" s="231">
        <f>+Janvier!AS72</f>
        <v>4188.0769230769229</v>
      </c>
      <c r="AR72" s="16">
        <f t="shared" si="116"/>
        <v>2</v>
      </c>
      <c r="AS72" s="16">
        <f t="shared" si="117"/>
        <v>3</v>
      </c>
      <c r="AT72" s="16">
        <f t="shared" si="118"/>
        <v>2</v>
      </c>
      <c r="AU72" s="16">
        <f t="shared" si="119"/>
        <v>2</v>
      </c>
      <c r="AV72" s="16">
        <f t="shared" si="120"/>
        <v>2</v>
      </c>
      <c r="AW72" s="16">
        <f t="shared" si="121"/>
        <v>3</v>
      </c>
      <c r="AX72" s="16">
        <f t="shared" si="122"/>
        <v>3</v>
      </c>
      <c r="AY72" s="16">
        <f t="shared" si="123"/>
        <v>3</v>
      </c>
      <c r="AZ72" s="16">
        <f t="shared" si="124"/>
        <v>1</v>
      </c>
      <c r="BA72" s="17">
        <f t="shared" si="125"/>
        <v>3</v>
      </c>
    </row>
    <row r="73" spans="1:53" ht="15.6" x14ac:dyDescent="0.3">
      <c r="A73" s="203" t="s">
        <v>67</v>
      </c>
      <c r="B73" s="257">
        <v>43983</v>
      </c>
      <c r="C73" s="94">
        <v>44012</v>
      </c>
      <c r="D73" s="237">
        <v>3460</v>
      </c>
      <c r="E73" s="96">
        <v>1640</v>
      </c>
      <c r="F73" s="97">
        <v>0</v>
      </c>
      <c r="G73" s="95">
        <v>9040</v>
      </c>
      <c r="H73" s="96">
        <v>3840</v>
      </c>
      <c r="I73" s="97">
        <v>0</v>
      </c>
      <c r="J73" s="95">
        <v>6980</v>
      </c>
      <c r="K73" s="96">
        <v>2680</v>
      </c>
      <c r="L73" s="97">
        <v>0</v>
      </c>
      <c r="M73" s="95">
        <v>5812</v>
      </c>
      <c r="N73" s="96">
        <v>3648</v>
      </c>
      <c r="O73" s="97">
        <v>0</v>
      </c>
      <c r="P73" s="95">
        <v>4000</v>
      </c>
      <c r="Q73" s="96">
        <v>2231</v>
      </c>
      <c r="R73" s="97">
        <v>0</v>
      </c>
      <c r="S73" s="95">
        <v>1960</v>
      </c>
      <c r="T73" s="96">
        <v>1290</v>
      </c>
      <c r="U73" s="97">
        <v>0</v>
      </c>
      <c r="V73" s="95">
        <v>4520</v>
      </c>
      <c r="W73" s="96">
        <v>3150</v>
      </c>
      <c r="X73" s="97">
        <v>0</v>
      </c>
      <c r="Y73" s="95">
        <v>2250</v>
      </c>
      <c r="Z73" s="96">
        <v>1590</v>
      </c>
      <c r="AA73" s="97">
        <v>0</v>
      </c>
      <c r="AB73" s="95">
        <v>900</v>
      </c>
      <c r="AC73" s="96">
        <v>380</v>
      </c>
      <c r="AD73" s="97">
        <v>0</v>
      </c>
      <c r="AE73" s="95">
        <v>4200</v>
      </c>
      <c r="AF73" s="96">
        <v>3820</v>
      </c>
      <c r="AG73" s="97">
        <v>0</v>
      </c>
      <c r="AH73" s="265">
        <f>+Janvier!AJ73</f>
        <v>4744.9038461538466</v>
      </c>
      <c r="AI73" s="231">
        <f>+Janvier!AK73</f>
        <v>14761.923076923076</v>
      </c>
      <c r="AJ73" s="231">
        <f>+Janvier!AL73</f>
        <v>11071.442307692309</v>
      </c>
      <c r="AK73" s="231">
        <f>+Janvier!AM73</f>
        <v>11071.442307692309</v>
      </c>
      <c r="AL73" s="231">
        <f>+Janvier!AN73</f>
        <v>6709.9650349650356</v>
      </c>
      <c r="AM73" s="231">
        <f>+Janvier!AO73</f>
        <v>4151.7908653846152</v>
      </c>
      <c r="AN73" s="231">
        <f>+Janvier!AP73</f>
        <v>8303.5817307692305</v>
      </c>
      <c r="AO73" s="231">
        <f>+Janvier!AQ73</f>
        <v>4151.7908653846152</v>
      </c>
      <c r="AP73" s="231">
        <f>+Janvier!AR73</f>
        <v>4151.7908653846152</v>
      </c>
      <c r="AQ73" s="231">
        <f>+Janvier!AS73</f>
        <v>7380.9615384615381</v>
      </c>
      <c r="AR73" s="16">
        <f t="shared" si="116"/>
        <v>2</v>
      </c>
      <c r="AS73" s="16">
        <f t="shared" si="117"/>
        <v>1</v>
      </c>
      <c r="AT73" s="16">
        <f t="shared" si="118"/>
        <v>1</v>
      </c>
      <c r="AU73" s="16">
        <f t="shared" si="119"/>
        <v>2</v>
      </c>
      <c r="AV73" s="16">
        <f t="shared" si="120"/>
        <v>2</v>
      </c>
      <c r="AW73" s="16">
        <f t="shared" si="121"/>
        <v>2</v>
      </c>
      <c r="AX73" s="16">
        <f t="shared" si="122"/>
        <v>2</v>
      </c>
      <c r="AY73" s="16">
        <f t="shared" si="123"/>
        <v>2</v>
      </c>
      <c r="AZ73" s="16">
        <f t="shared" si="124"/>
        <v>0</v>
      </c>
      <c r="BA73" s="17">
        <f t="shared" si="125"/>
        <v>3</v>
      </c>
    </row>
    <row r="74" spans="1:53" ht="15.6" x14ac:dyDescent="0.3">
      <c r="A74" s="203" t="s">
        <v>68</v>
      </c>
      <c r="B74" s="257">
        <v>43983</v>
      </c>
      <c r="C74" s="94">
        <v>44012</v>
      </c>
      <c r="D74" s="237">
        <v>2780</v>
      </c>
      <c r="E74" s="96">
        <v>440</v>
      </c>
      <c r="F74" s="97">
        <v>0</v>
      </c>
      <c r="G74" s="95">
        <v>7780</v>
      </c>
      <c r="H74" s="96">
        <v>720</v>
      </c>
      <c r="I74" s="97">
        <v>0</v>
      </c>
      <c r="J74" s="95">
        <v>6000</v>
      </c>
      <c r="K74" s="96">
        <v>10</v>
      </c>
      <c r="L74" s="97">
        <v>0</v>
      </c>
      <c r="M74" s="95">
        <v>6272</v>
      </c>
      <c r="N74" s="96">
        <v>16</v>
      </c>
      <c r="O74" s="97">
        <v>0</v>
      </c>
      <c r="P74" s="95">
        <v>3902</v>
      </c>
      <c r="Q74" s="96">
        <v>5</v>
      </c>
      <c r="R74" s="97">
        <v>0</v>
      </c>
      <c r="S74" s="95">
        <v>200</v>
      </c>
      <c r="T74" s="96">
        <v>10</v>
      </c>
      <c r="U74" s="97">
        <v>0</v>
      </c>
      <c r="V74" s="95">
        <v>4000</v>
      </c>
      <c r="W74" s="96">
        <v>470</v>
      </c>
      <c r="X74" s="97">
        <v>0</v>
      </c>
      <c r="Y74" s="95">
        <v>2650</v>
      </c>
      <c r="Z74" s="96">
        <v>10</v>
      </c>
      <c r="AA74" s="97">
        <v>0</v>
      </c>
      <c r="AB74" s="95">
        <v>2000</v>
      </c>
      <c r="AC74" s="96">
        <v>10</v>
      </c>
      <c r="AD74" s="97">
        <v>0</v>
      </c>
      <c r="AE74" s="95">
        <v>3820</v>
      </c>
      <c r="AF74" s="96">
        <v>1470</v>
      </c>
      <c r="AG74" s="97">
        <v>0</v>
      </c>
      <c r="AH74" s="265">
        <f>+Janvier!AJ74</f>
        <v>3278.4478021978025</v>
      </c>
      <c r="AI74" s="231">
        <f>+Janvier!AK74</f>
        <v>10199.615384615387</v>
      </c>
      <c r="AJ74" s="231">
        <f>+Janvier!AL74</f>
        <v>7649.7115384615381</v>
      </c>
      <c r="AK74" s="231">
        <f>+Janvier!AM74</f>
        <v>7649.7115384615381</v>
      </c>
      <c r="AL74" s="231">
        <f>+Janvier!AN74</f>
        <v>4636.188811188812</v>
      </c>
      <c r="AM74" s="231">
        <f>+Janvier!AO74</f>
        <v>2868.6418269230771</v>
      </c>
      <c r="AN74" s="231">
        <f>+Janvier!AP74</f>
        <v>5737.2836538461543</v>
      </c>
      <c r="AO74" s="231">
        <f>+Janvier!AQ74</f>
        <v>2868.6418269230771</v>
      </c>
      <c r="AP74" s="231">
        <f>+Janvier!AR74</f>
        <v>2868.6418269230771</v>
      </c>
      <c r="AQ74" s="231">
        <f>+Janvier!AS74</f>
        <v>5099.8076923076933</v>
      </c>
      <c r="AR74" s="16">
        <f t="shared" si="116"/>
        <v>1</v>
      </c>
      <c r="AS74" s="16">
        <f t="shared" si="117"/>
        <v>0</v>
      </c>
      <c r="AT74" s="16">
        <f t="shared" si="118"/>
        <v>0</v>
      </c>
      <c r="AU74" s="16">
        <f t="shared" si="119"/>
        <v>0</v>
      </c>
      <c r="AV74" s="16">
        <f t="shared" si="120"/>
        <v>0</v>
      </c>
      <c r="AW74" s="16">
        <f t="shared" si="121"/>
        <v>0</v>
      </c>
      <c r="AX74" s="16">
        <f t="shared" si="122"/>
        <v>0</v>
      </c>
      <c r="AY74" s="16">
        <f t="shared" si="123"/>
        <v>0</v>
      </c>
      <c r="AZ74" s="16">
        <f t="shared" si="124"/>
        <v>0</v>
      </c>
      <c r="BA74" s="17">
        <f t="shared" si="125"/>
        <v>1</v>
      </c>
    </row>
    <row r="75" spans="1:53" ht="15.6" x14ac:dyDescent="0.3">
      <c r="A75" s="203" t="s">
        <v>69</v>
      </c>
      <c r="B75" s="257">
        <v>43983</v>
      </c>
      <c r="C75" s="94">
        <v>44012</v>
      </c>
      <c r="D75" s="237">
        <v>3100</v>
      </c>
      <c r="E75" s="96">
        <v>800</v>
      </c>
      <c r="F75" s="97">
        <v>0</v>
      </c>
      <c r="G75" s="95">
        <v>8000</v>
      </c>
      <c r="H75" s="96">
        <v>1000</v>
      </c>
      <c r="I75" s="97">
        <v>0</v>
      </c>
      <c r="J75" s="95">
        <v>6000</v>
      </c>
      <c r="K75" s="96">
        <v>1090</v>
      </c>
      <c r="L75" s="97">
        <v>0</v>
      </c>
      <c r="M75" s="95">
        <v>6000</v>
      </c>
      <c r="N75" s="96">
        <v>1460</v>
      </c>
      <c r="O75" s="97">
        <v>0</v>
      </c>
      <c r="P75" s="95">
        <v>3732</v>
      </c>
      <c r="Q75" s="96">
        <v>632</v>
      </c>
      <c r="R75" s="97">
        <v>0</v>
      </c>
      <c r="S75" s="95">
        <v>2500</v>
      </c>
      <c r="T75" s="96">
        <v>410</v>
      </c>
      <c r="U75" s="97">
        <v>0</v>
      </c>
      <c r="V75" s="95">
        <v>4000</v>
      </c>
      <c r="W75" s="96">
        <v>2190</v>
      </c>
      <c r="X75" s="97">
        <v>0</v>
      </c>
      <c r="Y75" s="95">
        <v>2340</v>
      </c>
      <c r="Z75" s="96">
        <v>560</v>
      </c>
      <c r="AA75" s="97">
        <v>0</v>
      </c>
      <c r="AB75" s="95">
        <v>900</v>
      </c>
      <c r="AC75" s="96">
        <v>10</v>
      </c>
      <c r="AD75" s="97">
        <v>0</v>
      </c>
      <c r="AE75" s="95">
        <v>3600</v>
      </c>
      <c r="AF75" s="96">
        <v>2360</v>
      </c>
      <c r="AG75" s="97">
        <v>0</v>
      </c>
      <c r="AH75" s="265">
        <f>+Janvier!AJ75</f>
        <v>4167.9395604395613</v>
      </c>
      <c r="AI75" s="231">
        <f>+Janvier!AK75</f>
        <v>12966.923076923082</v>
      </c>
      <c r="AJ75" s="231">
        <f>+Janvier!AL75</f>
        <v>9725.1923076923085</v>
      </c>
      <c r="AK75" s="231">
        <f>+Janvier!AM75</f>
        <v>9725.1923076923085</v>
      </c>
      <c r="AL75" s="231">
        <f>+Janvier!AN75</f>
        <v>5894.0559440559446</v>
      </c>
      <c r="AM75" s="231">
        <f>+Janvier!AO75</f>
        <v>3646.9471153846152</v>
      </c>
      <c r="AN75" s="231">
        <f>+Janvier!AP75</f>
        <v>7293.8942307692305</v>
      </c>
      <c r="AO75" s="231">
        <f>+Janvier!AQ75</f>
        <v>3646.9471153846152</v>
      </c>
      <c r="AP75" s="231">
        <f>+Janvier!AR75</f>
        <v>3646.9471153846152</v>
      </c>
      <c r="AQ75" s="231">
        <f>+Janvier!AS75</f>
        <v>6483.4615384615408</v>
      </c>
      <c r="AR75" s="16">
        <f t="shared" si="116"/>
        <v>1</v>
      </c>
      <c r="AS75" s="16">
        <f t="shared" si="117"/>
        <v>0</v>
      </c>
      <c r="AT75" s="16">
        <f t="shared" si="118"/>
        <v>1</v>
      </c>
      <c r="AU75" s="16">
        <f t="shared" si="119"/>
        <v>1</v>
      </c>
      <c r="AV75" s="16">
        <f t="shared" si="120"/>
        <v>1</v>
      </c>
      <c r="AW75" s="16">
        <f t="shared" si="121"/>
        <v>1</v>
      </c>
      <c r="AX75" s="16">
        <f t="shared" si="122"/>
        <v>2</v>
      </c>
      <c r="AY75" s="16">
        <f t="shared" si="123"/>
        <v>1</v>
      </c>
      <c r="AZ75" s="16">
        <f t="shared" si="124"/>
        <v>0</v>
      </c>
      <c r="BA75" s="17">
        <f t="shared" si="125"/>
        <v>2</v>
      </c>
    </row>
    <row r="76" spans="1:53" ht="15.6" x14ac:dyDescent="0.3">
      <c r="A76" s="203" t="s">
        <v>70</v>
      </c>
      <c r="B76" s="257">
        <v>43983</v>
      </c>
      <c r="C76" s="94">
        <v>44012</v>
      </c>
      <c r="D76" s="237">
        <v>2100</v>
      </c>
      <c r="E76" s="96">
        <v>140</v>
      </c>
      <c r="F76" s="97">
        <v>0</v>
      </c>
      <c r="G76" s="95">
        <v>5000</v>
      </c>
      <c r="H76" s="96">
        <v>1760</v>
      </c>
      <c r="I76" s="97">
        <v>0</v>
      </c>
      <c r="J76" s="95">
        <v>3580</v>
      </c>
      <c r="K76" s="96">
        <v>550</v>
      </c>
      <c r="L76" s="97">
        <v>0</v>
      </c>
      <c r="M76" s="95">
        <v>3224</v>
      </c>
      <c r="N76" s="96">
        <v>1000</v>
      </c>
      <c r="O76" s="97">
        <v>0</v>
      </c>
      <c r="P76" s="95">
        <v>2250</v>
      </c>
      <c r="Q76" s="96">
        <v>433</v>
      </c>
      <c r="R76" s="97">
        <v>0</v>
      </c>
      <c r="S76" s="95">
        <v>1110</v>
      </c>
      <c r="T76" s="96">
        <v>270</v>
      </c>
      <c r="U76" s="97">
        <v>0</v>
      </c>
      <c r="V76" s="95">
        <v>2050</v>
      </c>
      <c r="W76" s="96">
        <v>1230</v>
      </c>
      <c r="X76" s="97">
        <v>0</v>
      </c>
      <c r="Y76" s="95">
        <v>1430</v>
      </c>
      <c r="Z76" s="96">
        <v>210</v>
      </c>
      <c r="AA76" s="97">
        <v>0</v>
      </c>
      <c r="AB76" s="95">
        <v>1600</v>
      </c>
      <c r="AC76" s="96">
        <v>60</v>
      </c>
      <c r="AD76" s="97">
        <v>0</v>
      </c>
      <c r="AE76" s="95">
        <v>1210</v>
      </c>
      <c r="AF76" s="96">
        <v>2230</v>
      </c>
      <c r="AG76" s="97">
        <v>0</v>
      </c>
      <c r="AH76" s="265">
        <f>+Janvier!AJ76</f>
        <v>2027.1016483516485</v>
      </c>
      <c r="AI76" s="231">
        <f>+Janvier!AK76</f>
        <v>6306.5384615384628</v>
      </c>
      <c r="AJ76" s="231">
        <f>+Janvier!AL76</f>
        <v>4729.9038461538466</v>
      </c>
      <c r="AK76" s="231">
        <f>+Janvier!AM76</f>
        <v>4729.9038461538466</v>
      </c>
      <c r="AL76" s="231">
        <f>+Janvier!AN76</f>
        <v>2866.6083916083921</v>
      </c>
      <c r="AM76" s="231">
        <f>+Janvier!AO76</f>
        <v>1773.7139423076924</v>
      </c>
      <c r="AN76" s="231">
        <f>+Janvier!AP76</f>
        <v>3547.4278846153848</v>
      </c>
      <c r="AO76" s="231">
        <f>+Janvier!AQ76</f>
        <v>1773.7139423076924</v>
      </c>
      <c r="AP76" s="231">
        <f>+Janvier!AR76</f>
        <v>1773.7139423076924</v>
      </c>
      <c r="AQ76" s="231">
        <f>+Janvier!AS76</f>
        <v>3153.2692307692314</v>
      </c>
      <c r="AR76" s="16">
        <f t="shared" si="116"/>
        <v>0</v>
      </c>
      <c r="AS76" s="16">
        <f t="shared" si="117"/>
        <v>1</v>
      </c>
      <c r="AT76" s="16">
        <f t="shared" si="118"/>
        <v>1</v>
      </c>
      <c r="AU76" s="16">
        <f t="shared" si="119"/>
        <v>1</v>
      </c>
      <c r="AV76" s="16">
        <f t="shared" si="120"/>
        <v>1</v>
      </c>
      <c r="AW76" s="16">
        <f t="shared" si="121"/>
        <v>1</v>
      </c>
      <c r="AX76" s="16">
        <f t="shared" si="122"/>
        <v>2</v>
      </c>
      <c r="AY76" s="16">
        <f t="shared" si="123"/>
        <v>1</v>
      </c>
      <c r="AZ76" s="16">
        <f t="shared" si="124"/>
        <v>0</v>
      </c>
      <c r="BA76" s="17">
        <f t="shared" si="125"/>
        <v>4</v>
      </c>
    </row>
    <row r="77" spans="1:53" ht="15.6" x14ac:dyDescent="0.3">
      <c r="A77" s="203" t="s">
        <v>71</v>
      </c>
      <c r="B77" s="257">
        <v>43983</v>
      </c>
      <c r="C77" s="94">
        <v>44012</v>
      </c>
      <c r="D77" s="237">
        <v>3290</v>
      </c>
      <c r="E77" s="96">
        <v>1940</v>
      </c>
      <c r="F77" s="97">
        <v>0</v>
      </c>
      <c r="G77" s="95">
        <v>8700</v>
      </c>
      <c r="H77" s="96">
        <v>7360</v>
      </c>
      <c r="I77" s="97">
        <v>0</v>
      </c>
      <c r="J77" s="95">
        <v>6580</v>
      </c>
      <c r="K77" s="96">
        <v>4350</v>
      </c>
      <c r="L77" s="97">
        <v>0</v>
      </c>
      <c r="M77" s="95">
        <v>6520</v>
      </c>
      <c r="N77" s="96">
        <v>4280</v>
      </c>
      <c r="O77" s="97">
        <v>0</v>
      </c>
      <c r="P77" s="95">
        <v>3652</v>
      </c>
      <c r="Q77" s="96">
        <v>2565</v>
      </c>
      <c r="R77" s="97">
        <v>0</v>
      </c>
      <c r="S77" s="95">
        <v>2080</v>
      </c>
      <c r="T77" s="96">
        <v>260</v>
      </c>
      <c r="U77" s="97">
        <v>0</v>
      </c>
      <c r="V77" s="95">
        <v>5000</v>
      </c>
      <c r="W77" s="96">
        <v>2750</v>
      </c>
      <c r="X77" s="97">
        <v>0</v>
      </c>
      <c r="Y77" s="95">
        <v>2230</v>
      </c>
      <c r="Z77" s="96">
        <v>1310</v>
      </c>
      <c r="AA77" s="97">
        <v>0</v>
      </c>
      <c r="AB77" s="95">
        <v>900</v>
      </c>
      <c r="AC77" s="96">
        <v>240</v>
      </c>
      <c r="AD77" s="97">
        <v>0</v>
      </c>
      <c r="AE77" s="95">
        <v>5090</v>
      </c>
      <c r="AF77" s="96">
        <v>5260</v>
      </c>
      <c r="AG77" s="97">
        <v>0</v>
      </c>
      <c r="AH77" s="265">
        <f>+Janvier!AJ77</f>
        <v>3524.4642857142853</v>
      </c>
      <c r="AI77" s="231">
        <f>+Janvier!AK77</f>
        <v>10965.000000000002</v>
      </c>
      <c r="AJ77" s="231">
        <f>+Janvier!AL77</f>
        <v>8223.75</v>
      </c>
      <c r="AK77" s="231">
        <f>+Janvier!AM77</f>
        <v>8223.75</v>
      </c>
      <c r="AL77" s="231">
        <f>+Janvier!AN77</f>
        <v>4984.0909090909099</v>
      </c>
      <c r="AM77" s="231">
        <f>+Janvier!AO77</f>
        <v>3083.9062500000005</v>
      </c>
      <c r="AN77" s="231">
        <f>+Janvier!AP77</f>
        <v>6167.8125000000009</v>
      </c>
      <c r="AO77" s="231">
        <f>+Janvier!AQ77</f>
        <v>3083.9062500000005</v>
      </c>
      <c r="AP77" s="231">
        <f>+Janvier!AR77</f>
        <v>3083.9062500000005</v>
      </c>
      <c r="AQ77" s="231">
        <f>+Janvier!AS77</f>
        <v>5482.5000000000009</v>
      </c>
      <c r="AR77" s="16">
        <f t="shared" si="116"/>
        <v>3</v>
      </c>
      <c r="AS77" s="16">
        <f t="shared" si="117"/>
        <v>3</v>
      </c>
      <c r="AT77" s="16">
        <f t="shared" si="118"/>
        <v>3</v>
      </c>
      <c r="AU77" s="16">
        <f t="shared" si="119"/>
        <v>3</v>
      </c>
      <c r="AV77" s="16">
        <f t="shared" si="120"/>
        <v>3</v>
      </c>
      <c r="AW77" s="16">
        <f t="shared" si="121"/>
        <v>0</v>
      </c>
      <c r="AX77" s="16">
        <f t="shared" si="122"/>
        <v>2</v>
      </c>
      <c r="AY77" s="16">
        <f t="shared" si="123"/>
        <v>2</v>
      </c>
      <c r="AZ77" s="16">
        <f t="shared" si="124"/>
        <v>0</v>
      </c>
      <c r="BA77" s="17">
        <f t="shared" si="125"/>
        <v>5</v>
      </c>
    </row>
    <row r="78" spans="1:53" ht="15.6" x14ac:dyDescent="0.3">
      <c r="A78" s="203" t="s">
        <v>72</v>
      </c>
      <c r="B78" s="257">
        <v>43983</v>
      </c>
      <c r="C78" s="94">
        <v>44012</v>
      </c>
      <c r="D78" s="237">
        <v>0</v>
      </c>
      <c r="E78" s="96">
        <v>540</v>
      </c>
      <c r="F78" s="97">
        <v>0</v>
      </c>
      <c r="G78" s="95">
        <v>0</v>
      </c>
      <c r="H78" s="96">
        <v>100</v>
      </c>
      <c r="I78" s="97">
        <v>0</v>
      </c>
      <c r="J78" s="95">
        <v>0</v>
      </c>
      <c r="K78" s="96">
        <v>1000</v>
      </c>
      <c r="L78" s="97">
        <v>0</v>
      </c>
      <c r="M78" s="95">
        <v>0</v>
      </c>
      <c r="N78" s="96">
        <v>1652</v>
      </c>
      <c r="O78" s="97">
        <v>0</v>
      </c>
      <c r="P78" s="95">
        <v>0</v>
      </c>
      <c r="Q78" s="96">
        <v>650</v>
      </c>
      <c r="R78" s="97">
        <v>0</v>
      </c>
      <c r="S78" s="95">
        <v>0</v>
      </c>
      <c r="T78" s="96">
        <v>440</v>
      </c>
      <c r="U78" s="97">
        <v>0</v>
      </c>
      <c r="V78" s="95">
        <v>0</v>
      </c>
      <c r="W78" s="96">
        <v>1150</v>
      </c>
      <c r="X78" s="97">
        <v>0</v>
      </c>
      <c r="Y78" s="95">
        <v>0</v>
      </c>
      <c r="Z78" s="96">
        <v>460</v>
      </c>
      <c r="AA78" s="97">
        <v>0</v>
      </c>
      <c r="AB78" s="95">
        <v>0</v>
      </c>
      <c r="AC78" s="96">
        <v>340</v>
      </c>
      <c r="AD78" s="97">
        <v>0</v>
      </c>
      <c r="AE78" s="95">
        <v>0</v>
      </c>
      <c r="AF78" s="96">
        <v>1000</v>
      </c>
      <c r="AG78" s="97">
        <v>0</v>
      </c>
      <c r="AH78" s="265">
        <f>+Janvier!AJ78</f>
        <v>304.98626373626377</v>
      </c>
      <c r="AI78" s="231">
        <f>+Janvier!AK78</f>
        <v>948.84615384615404</v>
      </c>
      <c r="AJ78" s="231">
        <f>+Janvier!AL78</f>
        <v>711.63461538461547</v>
      </c>
      <c r="AK78" s="231">
        <f>+Janvier!AM78</f>
        <v>711.63461538461547</v>
      </c>
      <c r="AL78" s="231">
        <f>+Janvier!AN78</f>
        <v>431.29370629370635</v>
      </c>
      <c r="AM78" s="231">
        <f>+Janvier!AO78</f>
        <v>266.86298076923077</v>
      </c>
      <c r="AN78" s="231">
        <f>+Janvier!AP78</f>
        <v>533.72596153846155</v>
      </c>
      <c r="AO78" s="231">
        <f>+Janvier!AQ78</f>
        <v>266.86298076923077</v>
      </c>
      <c r="AP78" s="231">
        <f>+Janvier!AR78</f>
        <v>266.86298076923077</v>
      </c>
      <c r="AQ78" s="231">
        <f>+Janvier!AS78</f>
        <v>474.42307692307702</v>
      </c>
      <c r="AR78" s="16">
        <f t="shared" si="116"/>
        <v>9</v>
      </c>
      <c r="AS78" s="16">
        <f t="shared" si="117"/>
        <v>1</v>
      </c>
      <c r="AT78" s="16">
        <f t="shared" si="118"/>
        <v>7</v>
      </c>
      <c r="AU78" s="16">
        <f t="shared" si="119"/>
        <v>12</v>
      </c>
      <c r="AV78" s="16">
        <f t="shared" si="120"/>
        <v>8</v>
      </c>
      <c r="AW78" s="16">
        <f t="shared" si="121"/>
        <v>8</v>
      </c>
      <c r="AX78" s="16">
        <f t="shared" si="122"/>
        <v>11</v>
      </c>
      <c r="AY78" s="16">
        <f t="shared" si="123"/>
        <v>9</v>
      </c>
      <c r="AZ78" s="16">
        <f t="shared" si="124"/>
        <v>6</v>
      </c>
      <c r="BA78" s="17">
        <f t="shared" si="125"/>
        <v>11</v>
      </c>
    </row>
    <row r="79" spans="1:53" ht="16.2" thickBot="1" x14ac:dyDescent="0.35">
      <c r="A79" s="203" t="s">
        <v>73</v>
      </c>
      <c r="B79" s="270">
        <v>43983</v>
      </c>
      <c r="C79" s="255">
        <v>44012</v>
      </c>
      <c r="D79" s="269">
        <v>2240</v>
      </c>
      <c r="E79" s="109">
        <v>520</v>
      </c>
      <c r="F79" s="110">
        <v>0</v>
      </c>
      <c r="G79" s="111">
        <v>6520</v>
      </c>
      <c r="H79" s="109">
        <v>1020</v>
      </c>
      <c r="I79" s="110">
        <v>0</v>
      </c>
      <c r="J79" s="111">
        <v>5000</v>
      </c>
      <c r="K79" s="109">
        <v>300</v>
      </c>
      <c r="L79" s="110">
        <v>0</v>
      </c>
      <c r="M79" s="111">
        <v>5400</v>
      </c>
      <c r="N79" s="109">
        <v>276</v>
      </c>
      <c r="O79" s="110">
        <v>0</v>
      </c>
      <c r="P79" s="111">
        <v>2717</v>
      </c>
      <c r="Q79" s="109">
        <v>333</v>
      </c>
      <c r="R79" s="110">
        <v>0</v>
      </c>
      <c r="S79" s="111">
        <v>1660</v>
      </c>
      <c r="T79" s="109">
        <v>120</v>
      </c>
      <c r="U79" s="110">
        <v>0</v>
      </c>
      <c r="V79" s="111">
        <v>2800</v>
      </c>
      <c r="W79" s="109">
        <v>1210</v>
      </c>
      <c r="X79" s="110">
        <v>0</v>
      </c>
      <c r="Y79" s="111">
        <v>1550</v>
      </c>
      <c r="Z79" s="109">
        <v>330</v>
      </c>
      <c r="AA79" s="110">
        <v>0</v>
      </c>
      <c r="AB79" s="111">
        <v>900</v>
      </c>
      <c r="AC79" s="109">
        <v>10</v>
      </c>
      <c r="AD79" s="110">
        <v>0</v>
      </c>
      <c r="AE79" s="111">
        <v>2150</v>
      </c>
      <c r="AF79" s="109">
        <v>3150</v>
      </c>
      <c r="AG79" s="110">
        <v>0</v>
      </c>
      <c r="AH79" s="265">
        <f>+Janvier!AJ79</f>
        <v>2652.2802197802202</v>
      </c>
      <c r="AI79" s="231">
        <f>+Janvier!AK79</f>
        <v>8251.5384615384628</v>
      </c>
      <c r="AJ79" s="231">
        <f>+Janvier!AL79</f>
        <v>6188.6538461538466</v>
      </c>
      <c r="AK79" s="231">
        <f>+Janvier!AM79</f>
        <v>6188.6538461538466</v>
      </c>
      <c r="AL79" s="231">
        <f>+Janvier!AN79</f>
        <v>3750.6993006993016</v>
      </c>
      <c r="AM79" s="231">
        <f>+Janvier!AO79</f>
        <v>2320.7451923076924</v>
      </c>
      <c r="AN79" s="231">
        <f>+Janvier!AP79</f>
        <v>4641.4903846153848</v>
      </c>
      <c r="AO79" s="231">
        <f>+Janvier!AQ79</f>
        <v>2320.7451923076924</v>
      </c>
      <c r="AP79" s="231">
        <f>+Janvier!AR79</f>
        <v>2320.7451923076924</v>
      </c>
      <c r="AQ79" s="231">
        <f>+Janvier!AS79</f>
        <v>4125.7692307692314</v>
      </c>
      <c r="AR79" s="32">
        <f t="shared" si="116"/>
        <v>1</v>
      </c>
      <c r="AS79" s="32">
        <f t="shared" si="117"/>
        <v>1</v>
      </c>
      <c r="AT79" s="32">
        <f t="shared" si="118"/>
        <v>0</v>
      </c>
      <c r="AU79" s="32">
        <f t="shared" si="119"/>
        <v>0</v>
      </c>
      <c r="AV79" s="32">
        <f t="shared" si="120"/>
        <v>0</v>
      </c>
      <c r="AW79" s="32">
        <f t="shared" si="121"/>
        <v>0</v>
      </c>
      <c r="AX79" s="32">
        <f t="shared" si="122"/>
        <v>1</v>
      </c>
      <c r="AY79" s="32">
        <f t="shared" si="123"/>
        <v>1</v>
      </c>
      <c r="AZ79" s="32">
        <f t="shared" si="124"/>
        <v>0</v>
      </c>
      <c r="BA79" s="33">
        <f t="shared" si="125"/>
        <v>4</v>
      </c>
    </row>
    <row r="80" spans="1:53" ht="15.6" x14ac:dyDescent="0.3">
      <c r="A80" s="202" t="s">
        <v>90</v>
      </c>
      <c r="B80" s="256">
        <v>43983</v>
      </c>
      <c r="C80" s="160">
        <v>44012</v>
      </c>
      <c r="D80" s="113">
        <v>11000</v>
      </c>
      <c r="E80" s="114">
        <v>15000</v>
      </c>
      <c r="F80" s="115">
        <v>0</v>
      </c>
      <c r="G80" s="113">
        <v>48500</v>
      </c>
      <c r="H80" s="114">
        <v>56500</v>
      </c>
      <c r="I80" s="115">
        <v>0</v>
      </c>
      <c r="J80" s="113">
        <v>34400</v>
      </c>
      <c r="K80" s="114">
        <v>42590</v>
      </c>
      <c r="L80" s="115">
        <v>0</v>
      </c>
      <c r="M80" s="113">
        <v>34200</v>
      </c>
      <c r="N80" s="114">
        <v>43000</v>
      </c>
      <c r="O80" s="115">
        <v>0</v>
      </c>
      <c r="P80" s="113">
        <v>11000</v>
      </c>
      <c r="Q80" s="114">
        <v>27350</v>
      </c>
      <c r="R80" s="115">
        <v>0</v>
      </c>
      <c r="S80" s="113">
        <v>11600</v>
      </c>
      <c r="T80" s="114">
        <v>14200</v>
      </c>
      <c r="U80" s="115">
        <v>0</v>
      </c>
      <c r="V80" s="113">
        <v>14000</v>
      </c>
      <c r="W80" s="114">
        <v>30300</v>
      </c>
      <c r="X80" s="115">
        <v>0</v>
      </c>
      <c r="Y80" s="113">
        <v>9000</v>
      </c>
      <c r="Z80" s="114">
        <v>16490</v>
      </c>
      <c r="AA80" s="115">
        <v>0</v>
      </c>
      <c r="AB80" s="113">
        <v>10000</v>
      </c>
      <c r="AC80" s="114">
        <v>16900</v>
      </c>
      <c r="AD80" s="115">
        <v>0</v>
      </c>
      <c r="AE80" s="113">
        <v>15000</v>
      </c>
      <c r="AF80" s="114">
        <v>38900</v>
      </c>
      <c r="AG80" s="115">
        <v>0</v>
      </c>
      <c r="AH80" s="231">
        <f>+Janvier!AJ80</f>
        <v>17212.634999999998</v>
      </c>
      <c r="AI80" s="231">
        <f>+Janvier!AK80</f>
        <v>59198.798076923078</v>
      </c>
      <c r="AJ80" s="231">
        <f>+Janvier!AL80</f>
        <v>39426.39951923077</v>
      </c>
      <c r="AK80" s="231">
        <f>+Janvier!AM80</f>
        <v>39426.39951923077</v>
      </c>
      <c r="AL80" s="231">
        <f>+Janvier!AN80</f>
        <v>24863.495192307691</v>
      </c>
      <c r="AM80" s="231">
        <f>+Janvier!AO80</f>
        <v>14799.69951923077</v>
      </c>
      <c r="AN80" s="231">
        <f>+Janvier!AP80</f>
        <v>29599.399038461539</v>
      </c>
      <c r="AO80" s="231">
        <f>+Janvier!AQ80</f>
        <v>14799.69951923077</v>
      </c>
      <c r="AP80" s="231">
        <f>+Janvier!AR80</f>
        <v>14799.69951923077</v>
      </c>
      <c r="AQ80" s="231">
        <f>+Janvier!AS80</f>
        <v>26721.713076923079</v>
      </c>
      <c r="AR80" s="16">
        <f>ROUND(E80/(AH80/15),0)</f>
        <v>13</v>
      </c>
      <c r="AS80" s="16">
        <f t="shared" ref="AS80" si="126">ROUND(H80/(AI80/15),0)</f>
        <v>14</v>
      </c>
      <c r="AT80" s="16">
        <f t="shared" ref="AT80" si="127">ROUND(K80/(AJ80/15),0)</f>
        <v>16</v>
      </c>
      <c r="AU80" s="16">
        <f t="shared" ref="AU80" si="128">ROUND(N80/(AK80/15),0)</f>
        <v>16</v>
      </c>
      <c r="AV80" s="16">
        <f t="shared" ref="AV80" si="129">ROUND(Q80/(AL80/15),0)</f>
        <v>17</v>
      </c>
      <c r="AW80" s="16">
        <f t="shared" ref="AW80" si="130">ROUND(T80/(AM80/15),0)</f>
        <v>14</v>
      </c>
      <c r="AX80" s="16">
        <f t="shared" ref="AX80" si="131">ROUND(W80/(AN80/15),0)</f>
        <v>15</v>
      </c>
      <c r="AY80" s="16">
        <f t="shared" ref="AY80" si="132">ROUND(Z80/(AO80/15),0)</f>
        <v>17</v>
      </c>
      <c r="AZ80" s="16">
        <f t="shared" ref="AZ80" si="133">ROUND(AC80/(AP80/15),0)</f>
        <v>17</v>
      </c>
      <c r="BA80" s="17">
        <f t="shared" ref="BA80" si="134">ROUND(AF80/(AQ80/15),0)</f>
        <v>22</v>
      </c>
    </row>
    <row r="81" spans="1:53" ht="15.6" x14ac:dyDescent="0.3">
      <c r="A81" s="199" t="s">
        <v>74</v>
      </c>
      <c r="B81" s="257">
        <v>43983</v>
      </c>
      <c r="C81" s="94">
        <v>44012</v>
      </c>
      <c r="D81" s="116">
        <v>1000</v>
      </c>
      <c r="E81" s="106">
        <v>360</v>
      </c>
      <c r="F81" s="117">
        <v>0</v>
      </c>
      <c r="G81" s="116">
        <v>2000</v>
      </c>
      <c r="H81" s="106">
        <v>380</v>
      </c>
      <c r="I81" s="117">
        <v>0</v>
      </c>
      <c r="J81" s="116">
        <v>1200</v>
      </c>
      <c r="K81" s="106">
        <v>1350</v>
      </c>
      <c r="L81" s="117">
        <v>0</v>
      </c>
      <c r="M81" s="116">
        <v>1200</v>
      </c>
      <c r="N81" s="106">
        <v>1040</v>
      </c>
      <c r="O81" s="117">
        <v>0</v>
      </c>
      <c r="P81" s="116">
        <v>600</v>
      </c>
      <c r="Q81" s="106">
        <v>430</v>
      </c>
      <c r="R81" s="117">
        <v>0</v>
      </c>
      <c r="S81" s="116">
        <v>500</v>
      </c>
      <c r="T81" s="106">
        <v>520</v>
      </c>
      <c r="U81" s="117">
        <v>0</v>
      </c>
      <c r="V81" s="116">
        <v>700</v>
      </c>
      <c r="W81" s="106">
        <v>1410</v>
      </c>
      <c r="X81" s="117">
        <v>0</v>
      </c>
      <c r="Y81" s="116">
        <v>400</v>
      </c>
      <c r="Z81" s="106">
        <v>400</v>
      </c>
      <c r="AA81" s="117">
        <v>0</v>
      </c>
      <c r="AB81" s="116">
        <v>300</v>
      </c>
      <c r="AC81" s="106">
        <v>340</v>
      </c>
      <c r="AD81" s="117">
        <v>0</v>
      </c>
      <c r="AE81" s="116">
        <v>0</v>
      </c>
      <c r="AF81" s="106">
        <v>840</v>
      </c>
      <c r="AG81" s="117">
        <v>0</v>
      </c>
      <c r="AH81" s="231">
        <f>+Janvier!AJ81</f>
        <v>1153.1868131868132</v>
      </c>
      <c r="AI81" s="231">
        <f>+Janvier!AK81</f>
        <v>3587.6923076923085</v>
      </c>
      <c r="AJ81" s="231">
        <f>+Janvier!AL81</f>
        <v>2690.7692307692309</v>
      </c>
      <c r="AK81" s="231">
        <f>+Janvier!AM81</f>
        <v>2690.7692307692309</v>
      </c>
      <c r="AL81" s="231">
        <f>+Janvier!AN81</f>
        <v>1630.7692307692312</v>
      </c>
      <c r="AM81" s="231">
        <f>+Janvier!AO81</f>
        <v>1009.0384615384617</v>
      </c>
      <c r="AN81" s="231">
        <f>+Janvier!AP81</f>
        <v>2018.0769230769233</v>
      </c>
      <c r="AO81" s="231">
        <f>+Janvier!AQ81</f>
        <v>1009.0384615384617</v>
      </c>
      <c r="AP81" s="231">
        <f>+Janvier!AR81</f>
        <v>1009.0384615384617</v>
      </c>
      <c r="AQ81" s="231">
        <f>+Janvier!AS81</f>
        <v>1793.8461538461543</v>
      </c>
      <c r="AR81" s="16">
        <f>ROUND(E81/(AH81/5),0)</f>
        <v>2</v>
      </c>
      <c r="AS81" s="16">
        <f t="shared" ref="AS81:AS85" si="135">ROUND(H81/(AI81/5),0)</f>
        <v>1</v>
      </c>
      <c r="AT81" s="16">
        <f t="shared" ref="AT81:AT85" si="136">ROUND(K81/(AJ81/5),0)</f>
        <v>3</v>
      </c>
      <c r="AU81" s="16">
        <f t="shared" ref="AU81:AU85" si="137">ROUND(N81/(AK81/5),0)</f>
        <v>2</v>
      </c>
      <c r="AV81" s="16">
        <f t="shared" ref="AV81:AV85" si="138">ROUND(Q81/(AL81/5),0)</f>
        <v>1</v>
      </c>
      <c r="AW81" s="16">
        <f t="shared" ref="AW81:AW85" si="139">ROUND(T81/(AM81/5),0)</f>
        <v>3</v>
      </c>
      <c r="AX81" s="16">
        <f t="shared" ref="AX81:AX85" si="140">ROUND(W81/(AN81/5),0)</f>
        <v>3</v>
      </c>
      <c r="AY81" s="16">
        <f t="shared" ref="AY81:AY85" si="141">ROUND(Z81/(AO81/5),0)</f>
        <v>2</v>
      </c>
      <c r="AZ81" s="16">
        <f t="shared" ref="AZ81:AZ85" si="142">ROUND(AC81/(AP81/5),0)</f>
        <v>2</v>
      </c>
      <c r="BA81" s="17">
        <f t="shared" ref="BA81:BA85" si="143">ROUND(AF81/(AQ81/5),0)</f>
        <v>2</v>
      </c>
    </row>
    <row r="82" spans="1:53" ht="15.6" x14ac:dyDescent="0.3">
      <c r="A82" s="199" t="s">
        <v>75</v>
      </c>
      <c r="B82" s="257">
        <v>43983</v>
      </c>
      <c r="C82" s="94">
        <v>44012</v>
      </c>
      <c r="D82" s="95">
        <v>900</v>
      </c>
      <c r="E82" s="96">
        <v>260</v>
      </c>
      <c r="F82" s="97">
        <v>0</v>
      </c>
      <c r="G82" s="95">
        <v>2800</v>
      </c>
      <c r="H82" s="96">
        <v>1480</v>
      </c>
      <c r="I82" s="97">
        <v>0</v>
      </c>
      <c r="J82" s="95">
        <v>2000</v>
      </c>
      <c r="K82" s="96">
        <v>1850</v>
      </c>
      <c r="L82" s="97">
        <v>0</v>
      </c>
      <c r="M82" s="95">
        <v>2200</v>
      </c>
      <c r="N82" s="96">
        <v>2292</v>
      </c>
      <c r="O82" s="97">
        <v>0</v>
      </c>
      <c r="P82" s="95">
        <v>2000</v>
      </c>
      <c r="Q82" s="96">
        <v>1497</v>
      </c>
      <c r="R82" s="97">
        <v>0</v>
      </c>
      <c r="S82" s="95">
        <v>1000</v>
      </c>
      <c r="T82" s="96">
        <v>740</v>
      </c>
      <c r="U82" s="97">
        <v>0</v>
      </c>
      <c r="V82" s="95">
        <v>1000</v>
      </c>
      <c r="W82" s="96">
        <v>2410</v>
      </c>
      <c r="X82" s="97">
        <v>0</v>
      </c>
      <c r="Y82" s="95">
        <v>700</v>
      </c>
      <c r="Z82" s="96">
        <v>800</v>
      </c>
      <c r="AA82" s="97">
        <v>0</v>
      </c>
      <c r="AB82" s="95">
        <v>600</v>
      </c>
      <c r="AC82" s="96">
        <v>800</v>
      </c>
      <c r="AD82" s="97">
        <v>0</v>
      </c>
      <c r="AE82" s="95">
        <v>1500</v>
      </c>
      <c r="AF82" s="96">
        <v>1600</v>
      </c>
      <c r="AG82" s="97">
        <v>0</v>
      </c>
      <c r="AH82" s="231">
        <f>+Janvier!AJ82</f>
        <v>1355.5631868131868</v>
      </c>
      <c r="AI82" s="231">
        <f>+Janvier!AK82</f>
        <v>4217.3076923076924</v>
      </c>
      <c r="AJ82" s="231">
        <f>+Janvier!AL82</f>
        <v>3162.9807692307691</v>
      </c>
      <c r="AK82" s="231">
        <f>+Janvier!AM82</f>
        <v>3162.9807692307691</v>
      </c>
      <c r="AL82" s="231">
        <f>+Janvier!AN82</f>
        <v>1916.9580419580418</v>
      </c>
      <c r="AM82" s="231">
        <f>+Janvier!AO82</f>
        <v>1186.1177884615383</v>
      </c>
      <c r="AN82" s="231">
        <f>+Janvier!AP82</f>
        <v>2372.2355769230767</v>
      </c>
      <c r="AO82" s="231">
        <f>+Janvier!AQ82</f>
        <v>1186.1177884615383</v>
      </c>
      <c r="AP82" s="231">
        <f>+Janvier!AR82</f>
        <v>1186.1177884615383</v>
      </c>
      <c r="AQ82" s="231">
        <f>+Janvier!AS82</f>
        <v>2108.6538461538462</v>
      </c>
      <c r="AR82" s="16">
        <f>ROUND(E82/(AH82/5),0)</f>
        <v>1</v>
      </c>
      <c r="AS82" s="16">
        <f t="shared" si="135"/>
        <v>2</v>
      </c>
      <c r="AT82" s="16">
        <f t="shared" si="136"/>
        <v>3</v>
      </c>
      <c r="AU82" s="16">
        <f t="shared" si="137"/>
        <v>4</v>
      </c>
      <c r="AV82" s="16">
        <f t="shared" si="138"/>
        <v>4</v>
      </c>
      <c r="AW82" s="16">
        <f t="shared" si="139"/>
        <v>3</v>
      </c>
      <c r="AX82" s="16">
        <f t="shared" si="140"/>
        <v>5</v>
      </c>
      <c r="AY82" s="16">
        <f t="shared" si="141"/>
        <v>3</v>
      </c>
      <c r="AZ82" s="16">
        <f t="shared" si="142"/>
        <v>3</v>
      </c>
      <c r="BA82" s="17">
        <f t="shared" si="143"/>
        <v>4</v>
      </c>
    </row>
    <row r="83" spans="1:53" ht="15.6" x14ac:dyDescent="0.3">
      <c r="A83" s="199" t="s">
        <v>76</v>
      </c>
      <c r="B83" s="257">
        <v>43983</v>
      </c>
      <c r="C83" s="94">
        <v>44012</v>
      </c>
      <c r="D83" s="95">
        <v>1160</v>
      </c>
      <c r="E83" s="96">
        <v>1800</v>
      </c>
      <c r="F83" s="97">
        <v>0</v>
      </c>
      <c r="G83" s="95">
        <v>2000</v>
      </c>
      <c r="H83" s="96">
        <v>420</v>
      </c>
      <c r="I83" s="97">
        <v>0</v>
      </c>
      <c r="J83" s="95">
        <v>1400</v>
      </c>
      <c r="K83" s="96">
        <v>1380</v>
      </c>
      <c r="L83" s="97">
        <v>0</v>
      </c>
      <c r="M83" s="95">
        <v>1000</v>
      </c>
      <c r="N83" s="96">
        <v>1244</v>
      </c>
      <c r="O83" s="97">
        <v>0</v>
      </c>
      <c r="P83" s="95">
        <v>900</v>
      </c>
      <c r="Q83" s="96">
        <v>760</v>
      </c>
      <c r="R83" s="97">
        <v>0</v>
      </c>
      <c r="S83" s="95">
        <v>600</v>
      </c>
      <c r="T83" s="96">
        <v>620</v>
      </c>
      <c r="U83" s="97">
        <v>0</v>
      </c>
      <c r="V83" s="95">
        <v>600</v>
      </c>
      <c r="W83" s="96">
        <v>1510</v>
      </c>
      <c r="X83" s="97">
        <v>0</v>
      </c>
      <c r="Y83" s="95">
        <v>400</v>
      </c>
      <c r="Z83" s="96">
        <v>400</v>
      </c>
      <c r="AA83" s="97">
        <v>0</v>
      </c>
      <c r="AB83" s="95">
        <v>400</v>
      </c>
      <c r="AC83" s="96">
        <v>390</v>
      </c>
      <c r="AD83" s="97">
        <v>0</v>
      </c>
      <c r="AE83" s="95">
        <v>700</v>
      </c>
      <c r="AF83" s="96">
        <v>1500</v>
      </c>
      <c r="AG83" s="97">
        <v>0</v>
      </c>
      <c r="AH83" s="231">
        <f>+Janvier!AJ83</f>
        <v>895.92032967032981</v>
      </c>
      <c r="AI83" s="231">
        <f>+Janvier!AK83</f>
        <v>2787.3076923076928</v>
      </c>
      <c r="AJ83" s="231">
        <f>+Janvier!AL83</f>
        <v>2090.4807692307695</v>
      </c>
      <c r="AK83" s="231">
        <f>+Janvier!AM83</f>
        <v>2090.4807692307695</v>
      </c>
      <c r="AL83" s="231">
        <f>+Janvier!AN83</f>
        <v>1266.958041958042</v>
      </c>
      <c r="AM83" s="231">
        <f>+Janvier!AO83</f>
        <v>783.93028846153834</v>
      </c>
      <c r="AN83" s="231">
        <f>+Janvier!AP83</f>
        <v>1567.8605769230767</v>
      </c>
      <c r="AO83" s="231">
        <f>+Janvier!AQ83</f>
        <v>783.93028846153834</v>
      </c>
      <c r="AP83" s="231">
        <f>+Janvier!AR83</f>
        <v>783.93028846153834</v>
      </c>
      <c r="AQ83" s="231">
        <f>+Janvier!AS83</f>
        <v>1393.6538461538464</v>
      </c>
      <c r="AR83" s="16">
        <f>ROUND(E83/(AH83/5),0)</f>
        <v>10</v>
      </c>
      <c r="AS83" s="16">
        <f t="shared" si="135"/>
        <v>1</v>
      </c>
      <c r="AT83" s="16">
        <f t="shared" si="136"/>
        <v>3</v>
      </c>
      <c r="AU83" s="16">
        <f t="shared" si="137"/>
        <v>3</v>
      </c>
      <c r="AV83" s="16">
        <f t="shared" si="138"/>
        <v>3</v>
      </c>
      <c r="AW83" s="16">
        <f t="shared" si="139"/>
        <v>4</v>
      </c>
      <c r="AX83" s="16">
        <f t="shared" si="140"/>
        <v>5</v>
      </c>
      <c r="AY83" s="16">
        <f t="shared" si="141"/>
        <v>3</v>
      </c>
      <c r="AZ83" s="16">
        <f t="shared" si="142"/>
        <v>2</v>
      </c>
      <c r="BA83" s="17">
        <f t="shared" si="143"/>
        <v>5</v>
      </c>
    </row>
    <row r="84" spans="1:53" ht="15.6" x14ac:dyDescent="0.3">
      <c r="A84" s="199" t="s">
        <v>77</v>
      </c>
      <c r="B84" s="257">
        <v>43983</v>
      </c>
      <c r="C84" s="94">
        <v>44012</v>
      </c>
      <c r="D84" s="95">
        <v>1200</v>
      </c>
      <c r="E84" s="96">
        <v>520</v>
      </c>
      <c r="F84" s="97">
        <v>0</v>
      </c>
      <c r="G84" s="95">
        <v>4000</v>
      </c>
      <c r="H84" s="96">
        <v>1200</v>
      </c>
      <c r="I84" s="97">
        <v>0</v>
      </c>
      <c r="J84" s="95">
        <v>3100</v>
      </c>
      <c r="K84" s="96">
        <v>1410</v>
      </c>
      <c r="L84" s="97">
        <v>0</v>
      </c>
      <c r="M84" s="95">
        <v>3000</v>
      </c>
      <c r="N84" s="96">
        <v>1624</v>
      </c>
      <c r="O84" s="97">
        <v>0</v>
      </c>
      <c r="P84" s="95">
        <v>2000</v>
      </c>
      <c r="Q84" s="96">
        <v>709</v>
      </c>
      <c r="R84" s="97">
        <v>0</v>
      </c>
      <c r="S84" s="95">
        <v>1000</v>
      </c>
      <c r="T84" s="96">
        <v>560</v>
      </c>
      <c r="U84" s="97">
        <v>0</v>
      </c>
      <c r="V84" s="95">
        <v>200</v>
      </c>
      <c r="W84" s="96">
        <v>2170</v>
      </c>
      <c r="X84" s="97">
        <v>0</v>
      </c>
      <c r="Y84" s="95">
        <v>800</v>
      </c>
      <c r="Z84" s="96">
        <v>760</v>
      </c>
      <c r="AA84" s="97">
        <v>0</v>
      </c>
      <c r="AB84" s="95">
        <v>700</v>
      </c>
      <c r="AC84" s="96">
        <v>700</v>
      </c>
      <c r="AD84" s="97">
        <v>0</v>
      </c>
      <c r="AE84" s="95">
        <v>1000</v>
      </c>
      <c r="AF84" s="96">
        <v>1580</v>
      </c>
      <c r="AG84" s="97">
        <v>0</v>
      </c>
      <c r="AH84" s="231">
        <f>+Janvier!AJ84</f>
        <v>1507.1291208791208</v>
      </c>
      <c r="AI84" s="231">
        <f>+Janvier!AK84</f>
        <v>4688.8461538461534</v>
      </c>
      <c r="AJ84" s="231">
        <f>+Janvier!AL84</f>
        <v>3516.6346153846152</v>
      </c>
      <c r="AK84" s="231">
        <f>+Janvier!AM84</f>
        <v>3516.6346153846152</v>
      </c>
      <c r="AL84" s="231">
        <f>+Janvier!AN84</f>
        <v>2131.2937062937062</v>
      </c>
      <c r="AM84" s="231">
        <f>+Janvier!AO84</f>
        <v>1318.7379807692307</v>
      </c>
      <c r="AN84" s="231">
        <f>+Janvier!AP84</f>
        <v>2637.4759615384614</v>
      </c>
      <c r="AO84" s="231">
        <f>+Janvier!AQ84</f>
        <v>1318.7379807692307</v>
      </c>
      <c r="AP84" s="231">
        <f>+Janvier!AR84</f>
        <v>1318.7379807692307</v>
      </c>
      <c r="AQ84" s="231">
        <f>+Janvier!AS84</f>
        <v>2344.4230769230767</v>
      </c>
      <c r="AR84" s="16">
        <f>ROUND(E84/(AH84/5),0)</f>
        <v>2</v>
      </c>
      <c r="AS84" s="16">
        <f t="shared" si="135"/>
        <v>1</v>
      </c>
      <c r="AT84" s="16">
        <f t="shared" si="136"/>
        <v>2</v>
      </c>
      <c r="AU84" s="16">
        <f t="shared" si="137"/>
        <v>2</v>
      </c>
      <c r="AV84" s="16">
        <f t="shared" si="138"/>
        <v>2</v>
      </c>
      <c r="AW84" s="16">
        <f t="shared" si="139"/>
        <v>2</v>
      </c>
      <c r="AX84" s="16">
        <f t="shared" si="140"/>
        <v>4</v>
      </c>
      <c r="AY84" s="16">
        <f t="shared" si="141"/>
        <v>3</v>
      </c>
      <c r="AZ84" s="16">
        <f t="shared" si="142"/>
        <v>3</v>
      </c>
      <c r="BA84" s="17">
        <f t="shared" si="143"/>
        <v>3</v>
      </c>
    </row>
    <row r="85" spans="1:53" ht="15" thickBot="1" x14ac:dyDescent="0.35">
      <c r="A85" s="121" t="s">
        <v>78</v>
      </c>
      <c r="B85" s="258">
        <v>43983</v>
      </c>
      <c r="C85" s="143">
        <v>44012</v>
      </c>
      <c r="D85" s="111">
        <v>660</v>
      </c>
      <c r="E85" s="109">
        <v>120</v>
      </c>
      <c r="F85" s="110">
        <v>0</v>
      </c>
      <c r="G85" s="111">
        <v>2200</v>
      </c>
      <c r="H85" s="109">
        <v>920</v>
      </c>
      <c r="I85" s="110">
        <v>0</v>
      </c>
      <c r="J85" s="111">
        <v>1500</v>
      </c>
      <c r="K85" s="109">
        <v>920</v>
      </c>
      <c r="L85" s="110">
        <v>0</v>
      </c>
      <c r="M85" s="111">
        <v>1400</v>
      </c>
      <c r="N85" s="109">
        <v>1000</v>
      </c>
      <c r="O85" s="110">
        <v>0</v>
      </c>
      <c r="P85" s="111">
        <v>700</v>
      </c>
      <c r="Q85" s="109">
        <v>753</v>
      </c>
      <c r="R85" s="110">
        <v>0</v>
      </c>
      <c r="S85" s="111">
        <v>500</v>
      </c>
      <c r="T85" s="109">
        <v>360</v>
      </c>
      <c r="U85" s="110">
        <v>0</v>
      </c>
      <c r="V85" s="111">
        <v>300</v>
      </c>
      <c r="W85" s="109">
        <v>1170</v>
      </c>
      <c r="X85" s="110">
        <v>0</v>
      </c>
      <c r="Y85" s="111">
        <v>200</v>
      </c>
      <c r="Z85" s="109">
        <v>500</v>
      </c>
      <c r="AA85" s="110">
        <v>0</v>
      </c>
      <c r="AB85" s="111">
        <v>300</v>
      </c>
      <c r="AC85" s="109">
        <v>590</v>
      </c>
      <c r="AD85" s="110">
        <v>0</v>
      </c>
      <c r="AE85" s="111">
        <v>400</v>
      </c>
      <c r="AF85" s="109">
        <v>1360</v>
      </c>
      <c r="AG85" s="110">
        <v>0</v>
      </c>
      <c r="AH85" s="231">
        <f>+Janvier!AJ85</f>
        <v>726.18131868131866</v>
      </c>
      <c r="AI85" s="231">
        <f>+Janvier!AK85</f>
        <v>2259.2307692307695</v>
      </c>
      <c r="AJ85" s="231">
        <f>+Janvier!AL85</f>
        <v>1694.4230769230774</v>
      </c>
      <c r="AK85" s="231">
        <f>+Janvier!AM85</f>
        <v>1694.4230769230774</v>
      </c>
      <c r="AL85" s="231">
        <f>+Janvier!AN85</f>
        <v>1026.9230769230771</v>
      </c>
      <c r="AM85" s="231">
        <f>+Janvier!AO85</f>
        <v>635.40865384615381</v>
      </c>
      <c r="AN85" s="231">
        <f>+Janvier!AP85</f>
        <v>1270.8173076923076</v>
      </c>
      <c r="AO85" s="231">
        <f>+Janvier!AQ85</f>
        <v>635.40865384615381</v>
      </c>
      <c r="AP85" s="231">
        <f>+Janvier!AR85</f>
        <v>635.40865384615381</v>
      </c>
      <c r="AQ85" s="231">
        <f>+Janvier!AS85</f>
        <v>1129.6153846153848</v>
      </c>
      <c r="AR85" s="16">
        <f>ROUND(E85/(AH85/5),0)</f>
        <v>1</v>
      </c>
      <c r="AS85" s="16">
        <f t="shared" si="135"/>
        <v>2</v>
      </c>
      <c r="AT85" s="16">
        <f t="shared" si="136"/>
        <v>3</v>
      </c>
      <c r="AU85" s="16">
        <f t="shared" si="137"/>
        <v>3</v>
      </c>
      <c r="AV85" s="16">
        <f t="shared" si="138"/>
        <v>4</v>
      </c>
      <c r="AW85" s="16">
        <f t="shared" si="139"/>
        <v>3</v>
      </c>
      <c r="AX85" s="16">
        <f t="shared" si="140"/>
        <v>5</v>
      </c>
      <c r="AY85" s="16">
        <f t="shared" si="141"/>
        <v>4</v>
      </c>
      <c r="AZ85" s="16">
        <f t="shared" si="142"/>
        <v>5</v>
      </c>
      <c r="BA85" s="17">
        <f t="shared" si="143"/>
        <v>6</v>
      </c>
    </row>
    <row r="86" spans="1:53" x14ac:dyDescent="0.3">
      <c r="B86" s="192"/>
      <c r="C86" s="3"/>
      <c r="D86" s="3"/>
      <c r="E86" s="192"/>
      <c r="F86" s="192"/>
      <c r="G86" s="192"/>
      <c r="H86" s="192"/>
      <c r="I86" s="192"/>
      <c r="J86" s="192"/>
      <c r="K86" s="192"/>
      <c r="L86" s="192"/>
      <c r="M86" s="192"/>
      <c r="N86" s="192"/>
      <c r="O86" s="192"/>
      <c r="P86" s="192"/>
      <c r="Q86" s="192"/>
      <c r="R86" s="192"/>
      <c r="S86" s="192"/>
      <c r="T86" s="192"/>
      <c r="U86" s="192"/>
      <c r="V86" s="192"/>
      <c r="W86" s="192"/>
      <c r="X86" s="192"/>
      <c r="Y86" s="192"/>
      <c r="Z86" s="192"/>
      <c r="AA86" s="192"/>
      <c r="AB86" s="192"/>
      <c r="AC86" s="192"/>
      <c r="AD86" s="192"/>
      <c r="AE86" s="192"/>
      <c r="AF86" s="192"/>
      <c r="AG86" s="192"/>
      <c r="AR86" s="183" t="s">
        <v>2</v>
      </c>
      <c r="AS86" s="183" t="s">
        <v>80</v>
      </c>
      <c r="AT86" s="183" t="s">
        <v>81</v>
      </c>
      <c r="AU86" s="183" t="s">
        <v>5</v>
      </c>
      <c r="AV86" s="183" t="s">
        <v>82</v>
      </c>
      <c r="AW86" s="183" t="s">
        <v>7</v>
      </c>
      <c r="AX86" s="183" t="s">
        <v>8</v>
      </c>
      <c r="AY86" s="183" t="s">
        <v>9</v>
      </c>
      <c r="AZ86" s="183" t="s">
        <v>10</v>
      </c>
      <c r="BA86" s="183" t="s">
        <v>11</v>
      </c>
    </row>
    <row r="87" spans="1:53" x14ac:dyDescent="0.3">
      <c r="B87" s="192"/>
      <c r="C87" s="3"/>
      <c r="D87" s="3"/>
      <c r="E87" s="192"/>
      <c r="F87" s="192"/>
      <c r="G87" s="192"/>
      <c r="H87" s="192"/>
      <c r="I87" s="192"/>
      <c r="J87" s="192"/>
      <c r="K87" s="192"/>
      <c r="L87" s="192"/>
      <c r="M87" s="192"/>
      <c r="N87" s="192"/>
      <c r="O87" s="192"/>
      <c r="P87" s="192"/>
      <c r="Q87" s="192"/>
      <c r="R87" s="192"/>
      <c r="S87" s="192"/>
      <c r="T87" s="192"/>
      <c r="U87" s="192"/>
      <c r="V87" s="192"/>
      <c r="W87" s="192"/>
      <c r="X87" s="192"/>
      <c r="Y87" s="192"/>
      <c r="Z87" s="192"/>
      <c r="AA87" s="192"/>
      <c r="AB87" s="192"/>
      <c r="AC87" s="192"/>
      <c r="AD87" s="192"/>
      <c r="AE87" s="192"/>
      <c r="AF87" s="192"/>
      <c r="AG87" s="192"/>
    </row>
  </sheetData>
  <mergeCells count="16">
    <mergeCell ref="D3:AF3"/>
    <mergeCell ref="AE4:AG4"/>
    <mergeCell ref="A1:AF1"/>
    <mergeCell ref="AH3:AQ3"/>
    <mergeCell ref="AR3:BA3"/>
    <mergeCell ref="A4:A5"/>
    <mergeCell ref="B4:C4"/>
    <mergeCell ref="D4:F4"/>
    <mergeCell ref="G4:I4"/>
    <mergeCell ref="J4:L4"/>
    <mergeCell ref="M4:O4"/>
    <mergeCell ref="P4:R4"/>
    <mergeCell ref="S4:U4"/>
    <mergeCell ref="V4:X4"/>
    <mergeCell ref="Y4:AA4"/>
    <mergeCell ref="AB4:AD4"/>
  </mergeCells>
  <conditionalFormatting sqref="AR6:BA6 AR14:BA14 AR21:BA21 AR30:BA30 AR40:BA40 AR54:BA54 AR68:BA68 AR80:BA80">
    <cfRule type="cellIs" dxfId="79" priority="5" operator="lessThanOrEqual">
      <formula>3</formula>
    </cfRule>
    <cfRule type="cellIs" dxfId="78" priority="6" operator="between">
      <formula>3.01</formula>
      <formula>5</formula>
    </cfRule>
    <cfRule type="cellIs" dxfId="77" priority="7" operator="between">
      <formula>5.01</formula>
      <formula>15</formula>
    </cfRule>
    <cfRule type="cellIs" dxfId="76" priority="8" operator="greaterThan">
      <formula>15</formula>
    </cfRule>
  </conditionalFormatting>
  <conditionalFormatting sqref="AR7:BA13 AR15:BA20 AR22:BA29 AR31:BA39 AR41:BA53 AR55:BA67 AR69:BA79 AR81:BA85">
    <cfRule type="cellIs" dxfId="75" priority="1" operator="lessThanOrEqual">
      <formula>1</formula>
    </cfRule>
    <cfRule type="cellIs" dxfId="74" priority="2" operator="between">
      <formula>1.01</formula>
      <formula>2</formula>
    </cfRule>
    <cfRule type="cellIs" dxfId="73" priority="3" operator="between">
      <formula>2.01</formula>
      <formula>5</formula>
    </cfRule>
    <cfRule type="cellIs" dxfId="72" priority="4" operator="greaterThan">
      <formula>5</formula>
    </cfRule>
  </conditionalFormatting>
  <dataValidations count="1">
    <dataValidation type="decimal" allowBlank="1" showInputMessage="1" showErrorMessage="1" promptTitle="Coverage:" prompt="Indicate the targeted immunization coverage for the current year." sqref="AH5:AQ5" xr:uid="{00000000-0002-0000-0500-000000000000}">
      <formula1>0</formula1>
      <formula2>1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A87"/>
  <sheetViews>
    <sheetView zoomScale="92" zoomScaleNormal="92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J9" sqref="J9"/>
    </sheetView>
  </sheetViews>
  <sheetFormatPr defaultColWidth="11.5546875" defaultRowHeight="14.4" x14ac:dyDescent="0.3"/>
  <cols>
    <col min="1" max="1" width="19.5546875" style="183" bestFit="1" customWidth="1"/>
    <col min="2" max="2" width="13.5546875" style="183" customWidth="1"/>
    <col min="3" max="3" width="16.5546875" style="183" customWidth="1"/>
    <col min="4" max="4" width="11.109375" style="183" customWidth="1"/>
    <col min="5" max="5" width="12.33203125" style="183" customWidth="1"/>
    <col min="6" max="7" width="12.5546875" style="183" customWidth="1"/>
    <col min="8" max="8" width="14.109375" style="183" customWidth="1"/>
    <col min="9" max="9" width="12.5546875" style="183" customWidth="1"/>
    <col min="10" max="10" width="13.88671875" style="183" customWidth="1"/>
    <col min="11" max="11" width="16" style="183" customWidth="1"/>
    <col min="12" max="12" width="9.88671875" style="183" customWidth="1"/>
    <col min="13" max="13" width="11.6640625" style="183" customWidth="1"/>
    <col min="14" max="14" width="8.44140625" style="183" customWidth="1"/>
    <col min="15" max="15" width="11.88671875" style="183" customWidth="1"/>
    <col min="16" max="16" width="10.33203125" style="183" customWidth="1"/>
    <col min="17" max="17" width="8.44140625" style="183" customWidth="1"/>
    <col min="18" max="18" width="13.44140625" style="183" customWidth="1"/>
    <col min="19" max="19" width="10.44140625" style="183" customWidth="1"/>
    <col min="20" max="20" width="7.44140625" style="183" customWidth="1"/>
    <col min="21" max="21" width="13.44140625" style="183" customWidth="1"/>
    <col min="22" max="22" width="9.5546875" style="183" customWidth="1"/>
    <col min="23" max="23" width="8.44140625" style="183" customWidth="1"/>
    <col min="24" max="24" width="12.6640625" style="183" customWidth="1"/>
    <col min="25" max="25" width="9.5546875" style="183" customWidth="1"/>
    <col min="26" max="26" width="9.44140625" style="183" customWidth="1"/>
    <col min="27" max="27" width="10" style="183" customWidth="1"/>
    <col min="28" max="28" width="9.6640625" style="183" customWidth="1"/>
    <col min="29" max="29" width="10.6640625" style="183" customWidth="1"/>
    <col min="30" max="30" width="12.33203125" style="183" customWidth="1"/>
    <col min="31" max="31" width="10" style="183" customWidth="1"/>
    <col min="32" max="32" width="10.33203125" style="183" customWidth="1"/>
    <col min="33" max="33" width="14" style="183" customWidth="1"/>
    <col min="34" max="43" width="11.6640625" style="183" customWidth="1"/>
    <col min="44" max="53" width="15.109375" style="183" customWidth="1"/>
    <col min="54" max="16384" width="11.5546875" style="183"/>
  </cols>
  <sheetData>
    <row r="1" spans="1:53" ht="18" x14ac:dyDescent="0.35">
      <c r="A1" s="414" t="s">
        <v>0</v>
      </c>
      <c r="B1" s="414"/>
      <c r="C1" s="414"/>
      <c r="D1" s="414"/>
      <c r="E1" s="414"/>
      <c r="F1" s="414"/>
      <c r="G1" s="414"/>
      <c r="H1" s="414"/>
      <c r="I1" s="414"/>
      <c r="J1" s="414"/>
      <c r="K1" s="414"/>
      <c r="L1" s="414"/>
      <c r="M1" s="414"/>
      <c r="N1" s="414"/>
      <c r="O1" s="414"/>
      <c r="P1" s="414"/>
      <c r="Q1" s="414"/>
      <c r="R1" s="414"/>
      <c r="S1" s="414"/>
      <c r="T1" s="414"/>
      <c r="U1" s="414"/>
      <c r="V1" s="414"/>
      <c r="W1" s="414"/>
      <c r="X1" s="414"/>
      <c r="Y1" s="414"/>
      <c r="Z1" s="414"/>
      <c r="AA1" s="414"/>
      <c r="AB1" s="414"/>
      <c r="AC1" s="414"/>
      <c r="AD1" s="414"/>
      <c r="AE1" s="414"/>
      <c r="AF1" s="414"/>
      <c r="AG1" s="195"/>
    </row>
    <row r="2" spans="1:53" ht="18" x14ac:dyDescent="0.35">
      <c r="A2" s="195"/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5"/>
      <c r="Y2" s="195"/>
      <c r="Z2" s="195"/>
      <c r="AA2" s="195"/>
      <c r="AB2" s="195"/>
      <c r="AC2" s="195"/>
      <c r="AD2" s="195"/>
      <c r="AE2" s="195"/>
      <c r="AF2" s="9"/>
      <c r="AG2" s="9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0"/>
    </row>
    <row r="3" spans="1:53" ht="16.2" thickBot="1" x14ac:dyDescent="0.35">
      <c r="D3" s="413" t="s">
        <v>98</v>
      </c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  <c r="R3" s="413"/>
      <c r="S3" s="413"/>
      <c r="T3" s="413"/>
      <c r="U3" s="413"/>
      <c r="V3" s="413"/>
      <c r="W3" s="413"/>
      <c r="X3" s="413"/>
      <c r="Y3" s="413"/>
      <c r="Z3" s="413"/>
      <c r="AA3" s="413"/>
      <c r="AB3" s="413"/>
      <c r="AC3" s="413"/>
      <c r="AD3" s="413"/>
      <c r="AE3" s="413"/>
      <c r="AF3" s="413"/>
      <c r="AG3" s="196"/>
      <c r="AH3" s="449" t="s">
        <v>12</v>
      </c>
      <c r="AI3" s="449"/>
      <c r="AJ3" s="449"/>
      <c r="AK3" s="449"/>
      <c r="AL3" s="449"/>
      <c r="AM3" s="449"/>
      <c r="AN3" s="449"/>
      <c r="AO3" s="449"/>
      <c r="AP3" s="449"/>
      <c r="AQ3" s="449"/>
      <c r="AR3" s="417" t="s">
        <v>13</v>
      </c>
      <c r="AS3" s="417"/>
      <c r="AT3" s="417"/>
      <c r="AU3" s="417"/>
      <c r="AV3" s="417"/>
      <c r="AW3" s="417"/>
      <c r="AX3" s="417"/>
      <c r="AY3" s="417"/>
      <c r="AZ3" s="417"/>
      <c r="BA3" s="417"/>
    </row>
    <row r="4" spans="1:53" ht="16.2" thickBot="1" x14ac:dyDescent="0.35">
      <c r="A4" s="450" t="s">
        <v>1</v>
      </c>
      <c r="B4" s="452" t="s">
        <v>92</v>
      </c>
      <c r="C4" s="453"/>
      <c r="D4" s="420" t="s">
        <v>2</v>
      </c>
      <c r="E4" s="420"/>
      <c r="F4" s="421"/>
      <c r="G4" s="422" t="s">
        <v>3</v>
      </c>
      <c r="H4" s="423"/>
      <c r="I4" s="424"/>
      <c r="J4" s="425" t="s">
        <v>4</v>
      </c>
      <c r="K4" s="426"/>
      <c r="L4" s="427"/>
      <c r="M4" s="446" t="s">
        <v>5</v>
      </c>
      <c r="N4" s="447"/>
      <c r="O4" s="448"/>
      <c r="P4" s="428" t="s">
        <v>6</v>
      </c>
      <c r="Q4" s="429"/>
      <c r="R4" s="430"/>
      <c r="S4" s="431" t="s">
        <v>7</v>
      </c>
      <c r="T4" s="432"/>
      <c r="U4" s="433"/>
      <c r="V4" s="434" t="s">
        <v>8</v>
      </c>
      <c r="W4" s="435"/>
      <c r="X4" s="436"/>
      <c r="Y4" s="437" t="s">
        <v>9</v>
      </c>
      <c r="Z4" s="438"/>
      <c r="AA4" s="439"/>
      <c r="AB4" s="440" t="s">
        <v>10</v>
      </c>
      <c r="AC4" s="441"/>
      <c r="AD4" s="442"/>
      <c r="AE4" s="443" t="s">
        <v>11</v>
      </c>
      <c r="AF4" s="444"/>
      <c r="AG4" s="444"/>
      <c r="AH4" s="206" t="s">
        <v>2</v>
      </c>
      <c r="AI4" s="206" t="s">
        <v>3</v>
      </c>
      <c r="AJ4" s="206" t="s">
        <v>4</v>
      </c>
      <c r="AK4" s="206" t="s">
        <v>5</v>
      </c>
      <c r="AL4" s="206" t="s">
        <v>6</v>
      </c>
      <c r="AM4" s="206" t="s">
        <v>7</v>
      </c>
      <c r="AN4" s="206" t="s">
        <v>8</v>
      </c>
      <c r="AO4" s="206" t="s">
        <v>9</v>
      </c>
      <c r="AP4" s="206" t="s">
        <v>10</v>
      </c>
      <c r="AQ4" s="206" t="s">
        <v>11</v>
      </c>
      <c r="AR4" s="186" t="s">
        <v>2</v>
      </c>
      <c r="AS4" s="186" t="s">
        <v>3</v>
      </c>
      <c r="AT4" s="186" t="s">
        <v>4</v>
      </c>
      <c r="AU4" s="186" t="s">
        <v>5</v>
      </c>
      <c r="AV4" s="186" t="s">
        <v>6</v>
      </c>
      <c r="AW4" s="186" t="s">
        <v>7</v>
      </c>
      <c r="AX4" s="186" t="s">
        <v>8</v>
      </c>
      <c r="AY4" s="186" t="s">
        <v>9</v>
      </c>
      <c r="AZ4" s="186" t="s">
        <v>10</v>
      </c>
      <c r="BA4" s="197" t="s">
        <v>11</v>
      </c>
    </row>
    <row r="5" spans="1:53" ht="15.75" customHeight="1" thickBot="1" x14ac:dyDescent="0.35">
      <c r="A5" s="451"/>
      <c r="B5" s="135" t="s">
        <v>93</v>
      </c>
      <c r="C5" s="136" t="s">
        <v>94</v>
      </c>
      <c r="D5" s="187" t="s">
        <v>95</v>
      </c>
      <c r="E5" s="188" t="s">
        <v>96</v>
      </c>
      <c r="F5" s="189" t="s">
        <v>97</v>
      </c>
      <c r="G5" s="190" t="s">
        <v>95</v>
      </c>
      <c r="H5" s="188" t="s">
        <v>96</v>
      </c>
      <c r="I5" s="191" t="s">
        <v>97</v>
      </c>
      <c r="J5" s="137" t="s">
        <v>95</v>
      </c>
      <c r="K5" s="138" t="s">
        <v>96</v>
      </c>
      <c r="L5" s="139" t="s">
        <v>97</v>
      </c>
      <c r="M5" s="187" t="s">
        <v>95</v>
      </c>
      <c r="N5" s="188" t="s">
        <v>96</v>
      </c>
      <c r="O5" s="189" t="s">
        <v>97</v>
      </c>
      <c r="P5" s="190" t="s">
        <v>95</v>
      </c>
      <c r="Q5" s="188" t="s">
        <v>96</v>
      </c>
      <c r="R5" s="189" t="s">
        <v>97</v>
      </c>
      <c r="S5" s="190" t="s">
        <v>95</v>
      </c>
      <c r="T5" s="188" t="s">
        <v>96</v>
      </c>
      <c r="U5" s="189" t="s">
        <v>97</v>
      </c>
      <c r="V5" s="190" t="s">
        <v>95</v>
      </c>
      <c r="W5" s="188" t="s">
        <v>96</v>
      </c>
      <c r="X5" s="189" t="s">
        <v>97</v>
      </c>
      <c r="Y5" s="190" t="s">
        <v>95</v>
      </c>
      <c r="Z5" s="188" t="s">
        <v>96</v>
      </c>
      <c r="AA5" s="189" t="s">
        <v>97</v>
      </c>
      <c r="AB5" s="190" t="s">
        <v>95</v>
      </c>
      <c r="AC5" s="188" t="s">
        <v>96</v>
      </c>
      <c r="AD5" s="189" t="s">
        <v>97</v>
      </c>
      <c r="AE5" s="190" t="s">
        <v>95</v>
      </c>
      <c r="AF5" s="188" t="s">
        <v>96</v>
      </c>
      <c r="AG5" s="191" t="s">
        <v>97</v>
      </c>
      <c r="AH5" s="229">
        <v>0.9</v>
      </c>
      <c r="AI5" s="229">
        <v>0.9</v>
      </c>
      <c r="AJ5" s="229">
        <v>0.9</v>
      </c>
      <c r="AK5" s="229">
        <v>0.9</v>
      </c>
      <c r="AL5" s="229">
        <v>0.9</v>
      </c>
      <c r="AM5" s="229">
        <v>0.9</v>
      </c>
      <c r="AN5" s="229">
        <v>0.9</v>
      </c>
      <c r="AO5" s="229">
        <v>0.9</v>
      </c>
      <c r="AP5" s="229">
        <v>0.9</v>
      </c>
      <c r="AQ5" s="230">
        <v>0.9</v>
      </c>
      <c r="AR5" s="12"/>
      <c r="AS5" s="12"/>
      <c r="AT5" s="12"/>
      <c r="AU5" s="12"/>
      <c r="AV5" s="12"/>
      <c r="AW5" s="12"/>
      <c r="AX5" s="12"/>
      <c r="AY5" s="12"/>
      <c r="AZ5" s="12"/>
      <c r="BA5" s="13"/>
    </row>
    <row r="6" spans="1:53" ht="15" thickBot="1" x14ac:dyDescent="0.35">
      <c r="A6" s="140" t="s">
        <v>87</v>
      </c>
      <c r="B6" s="141">
        <v>44013</v>
      </c>
      <c r="C6" s="232">
        <v>44035</v>
      </c>
      <c r="D6" s="142"/>
      <c r="E6" s="240">
        <v>6300</v>
      </c>
      <c r="F6" s="241"/>
      <c r="G6" s="235"/>
      <c r="H6" s="142">
        <v>14560</v>
      </c>
      <c r="I6" s="112">
        <v>0</v>
      </c>
      <c r="J6" s="142"/>
      <c r="K6" s="142">
        <v>10900</v>
      </c>
      <c r="L6" s="142"/>
      <c r="M6" s="142"/>
      <c r="N6" s="142">
        <v>10660</v>
      </c>
      <c r="O6" s="142"/>
      <c r="P6" s="142"/>
      <c r="Q6" s="142">
        <v>7854</v>
      </c>
      <c r="R6" s="142"/>
      <c r="S6" s="142"/>
      <c r="T6" s="142">
        <v>3070</v>
      </c>
      <c r="U6" s="142"/>
      <c r="V6" s="142"/>
      <c r="W6" s="142">
        <v>12560</v>
      </c>
      <c r="X6" s="142"/>
      <c r="Y6" s="142"/>
      <c r="Z6" s="142">
        <v>4760</v>
      </c>
      <c r="AA6" s="142"/>
      <c r="AB6" s="142"/>
      <c r="AC6" s="142">
        <v>4500</v>
      </c>
      <c r="AD6" s="142"/>
      <c r="AE6" s="142"/>
      <c r="AF6" s="142">
        <v>14120</v>
      </c>
      <c r="AG6" s="222"/>
      <c r="AH6" s="231">
        <f>+Janvier!AJ6</f>
        <v>8562.51</v>
      </c>
      <c r="AI6" s="231">
        <f>+Janvier!AK6</f>
        <v>29828.509615384621</v>
      </c>
      <c r="AJ6" s="231">
        <f>+Janvier!AL6</f>
        <v>19865.787403846156</v>
      </c>
      <c r="AK6" s="231">
        <f>+Janvier!AM6</f>
        <v>19865.787403846156</v>
      </c>
      <c r="AL6" s="231">
        <f>+Janvier!AN6</f>
        <v>12527.97403846154</v>
      </c>
      <c r="AM6" s="231">
        <f>+Janvier!AO6</f>
        <v>7457.1274038461552</v>
      </c>
      <c r="AN6" s="231">
        <f>+Janvier!AP6</f>
        <v>14914.25480769231</v>
      </c>
      <c r="AO6" s="231">
        <f>+Janvier!AQ6</f>
        <v>7457.1274038461552</v>
      </c>
      <c r="AP6" s="231">
        <f>+Janvier!AR6</f>
        <v>7457.1274038461552</v>
      </c>
      <c r="AQ6" s="231">
        <f>+Janvier!AS6</f>
        <v>13292.847692307696</v>
      </c>
      <c r="AR6" s="16">
        <f>ROUND(E6/(AH6/15),0)</f>
        <v>11</v>
      </c>
      <c r="AS6" s="16">
        <f>ROUND(H6/(AI6/15),0)</f>
        <v>7</v>
      </c>
      <c r="AT6" s="16">
        <f>ROUND(K6/(AJ6/15),0)</f>
        <v>8</v>
      </c>
      <c r="AU6" s="16">
        <f>ROUND(N6/(AK6/15),0)</f>
        <v>8</v>
      </c>
      <c r="AV6" s="16">
        <f>ROUND(Q6/(AL6/15),0)</f>
        <v>9</v>
      </c>
      <c r="AW6" s="16">
        <f>ROUND(T6/(AM6/15),0)</f>
        <v>6</v>
      </c>
      <c r="AX6" s="16">
        <f>ROUND(W6/(AN6/15),0)</f>
        <v>13</v>
      </c>
      <c r="AY6" s="16">
        <f>ROUND(Z6/(AO6/15),0)</f>
        <v>10</v>
      </c>
      <c r="AZ6" s="16">
        <f>ROUND(AC6/(AP6/15),0)</f>
        <v>9</v>
      </c>
      <c r="BA6" s="17">
        <f t="shared" ref="BA6" si="0">ROUND(AF6/(AQ6/15),0)</f>
        <v>16</v>
      </c>
    </row>
    <row r="7" spans="1:53" ht="15" thickBot="1" x14ac:dyDescent="0.35">
      <c r="A7" s="184" t="s">
        <v>100</v>
      </c>
      <c r="B7" s="94">
        <v>44013</v>
      </c>
      <c r="C7" s="233">
        <v>44035</v>
      </c>
      <c r="D7" s="107"/>
      <c r="E7" s="106">
        <v>180</v>
      </c>
      <c r="F7" s="117"/>
      <c r="G7" s="236"/>
      <c r="H7" s="96">
        <v>420</v>
      </c>
      <c r="I7" s="112">
        <v>0</v>
      </c>
      <c r="J7" s="95"/>
      <c r="K7" s="96">
        <v>240</v>
      </c>
      <c r="L7" s="97"/>
      <c r="M7" s="95"/>
      <c r="N7" s="96">
        <v>100</v>
      </c>
      <c r="O7" s="97"/>
      <c r="P7" s="95"/>
      <c r="Q7" s="96">
        <v>121</v>
      </c>
      <c r="R7" s="97"/>
      <c r="S7" s="95"/>
      <c r="T7" s="96">
        <v>105</v>
      </c>
      <c r="U7" s="97"/>
      <c r="V7" s="95"/>
      <c r="W7" s="96">
        <v>160</v>
      </c>
      <c r="X7" s="97"/>
      <c r="Y7" s="95"/>
      <c r="Z7" s="96">
        <v>150</v>
      </c>
      <c r="AA7" s="97"/>
      <c r="AB7" s="95"/>
      <c r="AC7" s="96">
        <v>150</v>
      </c>
      <c r="AD7" s="97"/>
      <c r="AE7" s="95"/>
      <c r="AF7" s="96">
        <v>240</v>
      </c>
      <c r="AG7" s="105"/>
      <c r="AH7" s="231">
        <f>+Janvier!AJ7</f>
        <v>205.71428571428572</v>
      </c>
      <c r="AI7" s="231">
        <f>+Janvier!AK7</f>
        <v>640.00000000000011</v>
      </c>
      <c r="AJ7" s="231">
        <f>+Janvier!AL7</f>
        <v>480</v>
      </c>
      <c r="AK7" s="231">
        <f>+Janvier!AM7</f>
        <v>480</v>
      </c>
      <c r="AL7" s="231">
        <f>+Janvier!AN7</f>
        <v>290.90909090909099</v>
      </c>
      <c r="AM7" s="231">
        <f>+Janvier!AO7</f>
        <v>180.00000000000003</v>
      </c>
      <c r="AN7" s="231">
        <f>+Janvier!AP7</f>
        <v>360.00000000000006</v>
      </c>
      <c r="AO7" s="231">
        <f>+Janvier!AQ7</f>
        <v>180.00000000000003</v>
      </c>
      <c r="AP7" s="231">
        <f>+Janvier!AR7</f>
        <v>180.00000000000003</v>
      </c>
      <c r="AQ7" s="231">
        <f>+Janvier!AS7</f>
        <v>320.00000000000006</v>
      </c>
      <c r="AR7" s="19">
        <f t="shared" ref="AR7:AR13" si="1">ROUND(E7/(AH7/5),0)</f>
        <v>4</v>
      </c>
      <c r="AS7" s="19">
        <f>ROUND(H7/(AI7/5),0)</f>
        <v>3</v>
      </c>
      <c r="AT7" s="19">
        <f>ROUND(K7/(AJ7/5),0)</f>
        <v>3</v>
      </c>
      <c r="AU7" s="19">
        <f>ROUND(N7/(AK7/5),0)</f>
        <v>1</v>
      </c>
      <c r="AV7" s="19">
        <f>ROUND(Q7/(AL7/5),0)</f>
        <v>2</v>
      </c>
      <c r="AW7" s="19">
        <f>ROUND(T7/(AM7/5),0)</f>
        <v>3</v>
      </c>
      <c r="AX7" s="19">
        <f>ROUND(W7/(AN7/5),0)</f>
        <v>2</v>
      </c>
      <c r="AY7" s="19">
        <f>ROUND(Z7/(AO7/5),0)</f>
        <v>4</v>
      </c>
      <c r="AZ7" s="19">
        <f>ROUND(AC7/(AP7/5),0)</f>
        <v>4</v>
      </c>
      <c r="BA7" s="20">
        <f t="shared" ref="BA7:BA13" si="2">ROUND(AF7/(AQ7/5),0)</f>
        <v>4</v>
      </c>
    </row>
    <row r="8" spans="1:53" ht="15" thickBot="1" x14ac:dyDescent="0.35">
      <c r="A8" s="184" t="s">
        <v>101</v>
      </c>
      <c r="B8" s="94">
        <v>44013</v>
      </c>
      <c r="C8" s="233">
        <v>44035</v>
      </c>
      <c r="D8" s="107"/>
      <c r="E8" s="96">
        <v>100</v>
      </c>
      <c r="F8" s="97"/>
      <c r="G8" s="237"/>
      <c r="H8" s="96">
        <v>580</v>
      </c>
      <c r="I8" s="112">
        <v>0</v>
      </c>
      <c r="J8" s="95"/>
      <c r="K8" s="96">
        <v>360</v>
      </c>
      <c r="L8" s="97"/>
      <c r="M8" s="95"/>
      <c r="N8" s="96">
        <v>368</v>
      </c>
      <c r="O8" s="97"/>
      <c r="P8" s="95"/>
      <c r="Q8" s="96">
        <v>184</v>
      </c>
      <c r="R8" s="97"/>
      <c r="S8" s="95"/>
      <c r="T8" s="96">
        <v>310</v>
      </c>
      <c r="U8" s="97"/>
      <c r="V8" s="95"/>
      <c r="W8" s="96">
        <v>730</v>
      </c>
      <c r="X8" s="97"/>
      <c r="Y8" s="95"/>
      <c r="Z8" s="96">
        <v>160</v>
      </c>
      <c r="AA8" s="97"/>
      <c r="AB8" s="95"/>
      <c r="AC8" s="96">
        <v>150</v>
      </c>
      <c r="AD8" s="97"/>
      <c r="AE8" s="95"/>
      <c r="AF8" s="96">
        <v>470</v>
      </c>
      <c r="AG8" s="105"/>
      <c r="AH8" s="231">
        <f>+Janvier!AJ8</f>
        <v>676.23626373626382</v>
      </c>
      <c r="AI8" s="231">
        <f>+Janvier!AK8</f>
        <v>2103.8461538461538</v>
      </c>
      <c r="AJ8" s="231">
        <f>+Janvier!AL8</f>
        <v>1577.8846153846155</v>
      </c>
      <c r="AK8" s="231">
        <f>+Janvier!AM8</f>
        <v>1577.8846153846155</v>
      </c>
      <c r="AL8" s="231">
        <f>+Janvier!AN8</f>
        <v>956.29370629370646</v>
      </c>
      <c r="AM8" s="231">
        <f>+Janvier!AO8</f>
        <v>591.70673076923083</v>
      </c>
      <c r="AN8" s="231">
        <f>+Janvier!AP8</f>
        <v>1183.4134615384617</v>
      </c>
      <c r="AO8" s="231">
        <f>+Janvier!AQ8</f>
        <v>591.70673076923083</v>
      </c>
      <c r="AP8" s="231">
        <f>+Janvier!AR8</f>
        <v>591.70673076923083</v>
      </c>
      <c r="AQ8" s="231">
        <f>+Janvier!AS8</f>
        <v>1051.9230769230769</v>
      </c>
      <c r="AR8" s="19">
        <f t="shared" si="1"/>
        <v>1</v>
      </c>
      <c r="AS8" s="19">
        <f t="shared" ref="AS8:AS13" si="3">ROUND(H8/(AI8/5),0)</f>
        <v>1</v>
      </c>
      <c r="AT8" s="19">
        <f t="shared" ref="AT8:AT13" si="4">ROUND(K8/(AJ8/5),0)</f>
        <v>1</v>
      </c>
      <c r="AU8" s="19">
        <f t="shared" ref="AU8:AU13" si="5">ROUND(N8/(AK8/5),0)</f>
        <v>1</v>
      </c>
      <c r="AV8" s="19">
        <f t="shared" ref="AV8:AV13" si="6">ROUND(Q8/(AL8/5),0)</f>
        <v>1</v>
      </c>
      <c r="AW8" s="19">
        <f t="shared" ref="AW8:AW13" si="7">ROUND(T8/(AM8/5),0)</f>
        <v>3</v>
      </c>
      <c r="AX8" s="19">
        <f t="shared" ref="AX8:AX13" si="8">ROUND(W8/(AN8/5),0)</f>
        <v>3</v>
      </c>
      <c r="AY8" s="19">
        <f t="shared" ref="AY8:AY13" si="9">ROUND(Z8/(AO8/5),0)</f>
        <v>1</v>
      </c>
      <c r="AZ8" s="19">
        <f t="shared" ref="AZ8:AZ13" si="10">ROUND(AC8/(AP8/5),0)</f>
        <v>1</v>
      </c>
      <c r="BA8" s="20">
        <f t="shared" si="2"/>
        <v>2</v>
      </c>
    </row>
    <row r="9" spans="1:53" ht="15" thickBot="1" x14ac:dyDescent="0.35">
      <c r="A9" s="184" t="s">
        <v>102</v>
      </c>
      <c r="B9" s="94">
        <v>44013</v>
      </c>
      <c r="C9" s="233">
        <v>44035</v>
      </c>
      <c r="D9" s="107"/>
      <c r="E9" s="96">
        <v>220</v>
      </c>
      <c r="F9" s="97"/>
      <c r="G9" s="237"/>
      <c r="H9" s="96">
        <v>570</v>
      </c>
      <c r="I9" s="112">
        <v>0</v>
      </c>
      <c r="J9" s="95"/>
      <c r="K9" s="96">
        <v>460</v>
      </c>
      <c r="L9" s="97"/>
      <c r="M9" s="95"/>
      <c r="N9" s="96">
        <v>456</v>
      </c>
      <c r="O9" s="97"/>
      <c r="P9" s="95"/>
      <c r="Q9" s="96">
        <v>290</v>
      </c>
      <c r="R9" s="97"/>
      <c r="S9" s="95"/>
      <c r="T9" s="96">
        <v>380</v>
      </c>
      <c r="U9" s="97"/>
      <c r="V9" s="95"/>
      <c r="W9" s="96">
        <v>1280</v>
      </c>
      <c r="X9" s="97"/>
      <c r="Y9" s="95"/>
      <c r="Z9" s="96">
        <v>480</v>
      </c>
      <c r="AA9" s="97"/>
      <c r="AB9" s="95"/>
      <c r="AC9" s="96">
        <v>100</v>
      </c>
      <c r="AD9" s="97"/>
      <c r="AE9" s="95"/>
      <c r="AF9" s="96">
        <v>456</v>
      </c>
      <c r="AG9" s="105"/>
      <c r="AH9" s="231">
        <f>+Janvier!AJ9</f>
        <v>611.82692307692309</v>
      </c>
      <c r="AI9" s="231">
        <f>+Janvier!AK9</f>
        <v>1903.4615384615386</v>
      </c>
      <c r="AJ9" s="231">
        <f>+Janvier!AL9</f>
        <v>1427.5961538461543</v>
      </c>
      <c r="AK9" s="231">
        <f>+Janvier!AM9</f>
        <v>1427.5961538461543</v>
      </c>
      <c r="AL9" s="231">
        <f>+Janvier!AN9</f>
        <v>865.20979020979041</v>
      </c>
      <c r="AM9" s="231">
        <f>+Janvier!AO9</f>
        <v>535.34855769230762</v>
      </c>
      <c r="AN9" s="231">
        <f>+Janvier!AP9</f>
        <v>1070.6971153846152</v>
      </c>
      <c r="AO9" s="231">
        <f>+Janvier!AQ9</f>
        <v>535.34855769230762</v>
      </c>
      <c r="AP9" s="231">
        <f>+Janvier!AR9</f>
        <v>535.34855769230762</v>
      </c>
      <c r="AQ9" s="231">
        <f>+Janvier!AS9</f>
        <v>951.73076923076928</v>
      </c>
      <c r="AR9" s="19">
        <f t="shared" si="1"/>
        <v>2</v>
      </c>
      <c r="AS9" s="19">
        <f t="shared" si="3"/>
        <v>1</v>
      </c>
      <c r="AT9" s="19">
        <f t="shared" si="4"/>
        <v>2</v>
      </c>
      <c r="AU9" s="19">
        <f t="shared" si="5"/>
        <v>2</v>
      </c>
      <c r="AV9" s="19">
        <f t="shared" si="6"/>
        <v>2</v>
      </c>
      <c r="AW9" s="19">
        <f t="shared" si="7"/>
        <v>4</v>
      </c>
      <c r="AX9" s="19">
        <f t="shared" si="8"/>
        <v>6</v>
      </c>
      <c r="AY9" s="19">
        <f t="shared" si="9"/>
        <v>4</v>
      </c>
      <c r="AZ9" s="19">
        <f t="shared" si="10"/>
        <v>1</v>
      </c>
      <c r="BA9" s="20">
        <f t="shared" si="2"/>
        <v>2</v>
      </c>
    </row>
    <row r="10" spans="1:53" ht="15" thickBot="1" x14ac:dyDescent="0.35">
      <c r="A10" s="184" t="s">
        <v>34</v>
      </c>
      <c r="B10" s="94">
        <v>44013</v>
      </c>
      <c r="C10" s="233">
        <v>44035</v>
      </c>
      <c r="D10" s="107"/>
      <c r="E10" s="96">
        <v>100</v>
      </c>
      <c r="F10" s="97"/>
      <c r="G10" s="237"/>
      <c r="H10" s="96">
        <v>220</v>
      </c>
      <c r="I10" s="112">
        <v>0</v>
      </c>
      <c r="J10" s="95"/>
      <c r="K10" s="96">
        <v>130</v>
      </c>
      <c r="L10" s="97"/>
      <c r="M10" s="95"/>
      <c r="N10" s="96">
        <v>120</v>
      </c>
      <c r="O10" s="97"/>
      <c r="P10" s="95"/>
      <c r="Q10" s="96">
        <v>20</v>
      </c>
      <c r="R10" s="97"/>
      <c r="S10" s="95"/>
      <c r="T10" s="96">
        <v>220</v>
      </c>
      <c r="U10" s="97"/>
      <c r="V10" s="95"/>
      <c r="W10" s="96">
        <v>350</v>
      </c>
      <c r="X10" s="97"/>
      <c r="Y10" s="95"/>
      <c r="Z10" s="96">
        <v>130</v>
      </c>
      <c r="AA10" s="97"/>
      <c r="AB10" s="95"/>
      <c r="AC10" s="96">
        <v>70</v>
      </c>
      <c r="AD10" s="97"/>
      <c r="AE10" s="95"/>
      <c r="AF10" s="96">
        <v>100</v>
      </c>
      <c r="AG10" s="105"/>
      <c r="AH10" s="231">
        <f>+Janvier!AJ10</f>
        <v>104.46428571428572</v>
      </c>
      <c r="AI10" s="231">
        <f>+Janvier!AK10</f>
        <v>325</v>
      </c>
      <c r="AJ10" s="231">
        <f>+Janvier!AL10</f>
        <v>243.75</v>
      </c>
      <c r="AK10" s="231">
        <f>+Janvier!AM10</f>
        <v>243.75</v>
      </c>
      <c r="AL10" s="231">
        <f>+Janvier!AN10</f>
        <v>147.72727272727275</v>
      </c>
      <c r="AM10" s="231">
        <f>+Janvier!AO10</f>
        <v>91.40625</v>
      </c>
      <c r="AN10" s="231">
        <f>+Janvier!AP10</f>
        <v>182.8125</v>
      </c>
      <c r="AO10" s="231">
        <f>+Janvier!AQ10</f>
        <v>91.40625</v>
      </c>
      <c r="AP10" s="231">
        <f>+Janvier!AR10</f>
        <v>91.40625</v>
      </c>
      <c r="AQ10" s="231">
        <f>+Janvier!AS10</f>
        <v>162.5</v>
      </c>
      <c r="AR10" s="19">
        <f t="shared" si="1"/>
        <v>5</v>
      </c>
      <c r="AS10" s="19">
        <f t="shared" si="3"/>
        <v>3</v>
      </c>
      <c r="AT10" s="19">
        <f t="shared" si="4"/>
        <v>3</v>
      </c>
      <c r="AU10" s="19">
        <f t="shared" si="5"/>
        <v>2</v>
      </c>
      <c r="AV10" s="19">
        <f t="shared" si="6"/>
        <v>1</v>
      </c>
      <c r="AW10" s="19">
        <f t="shared" si="7"/>
        <v>12</v>
      </c>
      <c r="AX10" s="19">
        <f t="shared" si="8"/>
        <v>10</v>
      </c>
      <c r="AY10" s="19">
        <f t="shared" si="9"/>
        <v>7</v>
      </c>
      <c r="AZ10" s="19">
        <f t="shared" si="10"/>
        <v>4</v>
      </c>
      <c r="BA10" s="20">
        <f t="shared" si="2"/>
        <v>3</v>
      </c>
    </row>
    <row r="11" spans="1:53" ht="15" thickBot="1" x14ac:dyDescent="0.35">
      <c r="A11" s="184" t="s">
        <v>103</v>
      </c>
      <c r="B11" s="94">
        <v>44013</v>
      </c>
      <c r="C11" s="233">
        <v>44035</v>
      </c>
      <c r="D11" s="107"/>
      <c r="E11" s="96">
        <v>120</v>
      </c>
      <c r="F11" s="97"/>
      <c r="G11" s="237"/>
      <c r="H11" s="96">
        <v>420</v>
      </c>
      <c r="I11" s="112">
        <v>0</v>
      </c>
      <c r="J11" s="95"/>
      <c r="K11" s="96">
        <v>340</v>
      </c>
      <c r="L11" s="97"/>
      <c r="M11" s="95"/>
      <c r="N11" s="96">
        <v>280</v>
      </c>
      <c r="O11" s="97"/>
      <c r="P11" s="95"/>
      <c r="Q11" s="96">
        <v>176</v>
      </c>
      <c r="R11" s="97"/>
      <c r="S11" s="95"/>
      <c r="T11" s="96">
        <v>120</v>
      </c>
      <c r="U11" s="97"/>
      <c r="V11" s="95"/>
      <c r="W11" s="96">
        <v>250</v>
      </c>
      <c r="X11" s="97"/>
      <c r="Y11" s="95"/>
      <c r="Z11" s="96">
        <v>170</v>
      </c>
      <c r="AA11" s="97"/>
      <c r="AB11" s="95"/>
      <c r="AC11" s="96">
        <v>100</v>
      </c>
      <c r="AD11" s="97"/>
      <c r="AE11" s="95"/>
      <c r="AF11" s="96">
        <v>190</v>
      </c>
      <c r="AG11" s="105"/>
      <c r="AH11" s="231">
        <f>+Janvier!AJ11</f>
        <v>190.75549450549454</v>
      </c>
      <c r="AI11" s="231">
        <f>+Janvier!AK11</f>
        <v>593.46153846153857</v>
      </c>
      <c r="AJ11" s="231">
        <f>+Janvier!AL11</f>
        <v>445.09615384615392</v>
      </c>
      <c r="AK11" s="231">
        <f>+Janvier!AM11</f>
        <v>445.09615384615392</v>
      </c>
      <c r="AL11" s="231">
        <f>+Janvier!AN11</f>
        <v>269.7552447552448</v>
      </c>
      <c r="AM11" s="231">
        <f>+Janvier!AO11</f>
        <v>166.91105769230771</v>
      </c>
      <c r="AN11" s="231">
        <f>+Janvier!AP11</f>
        <v>333.82211538461542</v>
      </c>
      <c r="AO11" s="231">
        <f>+Janvier!AQ11</f>
        <v>166.91105769230771</v>
      </c>
      <c r="AP11" s="231">
        <f>+Janvier!AR11</f>
        <v>166.91105769230771</v>
      </c>
      <c r="AQ11" s="231">
        <f>+Janvier!AS11</f>
        <v>296.73076923076928</v>
      </c>
      <c r="AR11" s="19">
        <f t="shared" si="1"/>
        <v>3</v>
      </c>
      <c r="AS11" s="19">
        <f t="shared" si="3"/>
        <v>4</v>
      </c>
      <c r="AT11" s="19">
        <f t="shared" si="4"/>
        <v>4</v>
      </c>
      <c r="AU11" s="19">
        <f t="shared" si="5"/>
        <v>3</v>
      </c>
      <c r="AV11" s="19">
        <f t="shared" si="6"/>
        <v>3</v>
      </c>
      <c r="AW11" s="19">
        <f t="shared" si="7"/>
        <v>4</v>
      </c>
      <c r="AX11" s="19">
        <f t="shared" si="8"/>
        <v>4</v>
      </c>
      <c r="AY11" s="19">
        <f t="shared" si="9"/>
        <v>5</v>
      </c>
      <c r="AZ11" s="19">
        <f t="shared" si="10"/>
        <v>3</v>
      </c>
      <c r="BA11" s="20">
        <f t="shared" si="2"/>
        <v>3</v>
      </c>
    </row>
    <row r="12" spans="1:53" ht="15" thickBot="1" x14ac:dyDescent="0.35">
      <c r="A12" s="184" t="s">
        <v>104</v>
      </c>
      <c r="B12" s="94">
        <v>44013</v>
      </c>
      <c r="C12" s="233">
        <v>44035</v>
      </c>
      <c r="D12" s="107"/>
      <c r="E12" s="106">
        <v>160</v>
      </c>
      <c r="F12" s="117"/>
      <c r="G12" s="236"/>
      <c r="H12" s="96">
        <v>460</v>
      </c>
      <c r="I12" s="112">
        <v>0</v>
      </c>
      <c r="J12" s="95"/>
      <c r="K12" s="96">
        <v>270</v>
      </c>
      <c r="L12" s="97"/>
      <c r="M12" s="95"/>
      <c r="N12" s="96">
        <v>216</v>
      </c>
      <c r="O12" s="97"/>
      <c r="P12" s="95"/>
      <c r="Q12" s="96">
        <v>220</v>
      </c>
      <c r="R12" s="97"/>
      <c r="S12" s="95"/>
      <c r="T12" s="96">
        <v>60</v>
      </c>
      <c r="U12" s="97"/>
      <c r="V12" s="95"/>
      <c r="W12" s="96">
        <v>490</v>
      </c>
      <c r="X12" s="97"/>
      <c r="Y12" s="95"/>
      <c r="Z12" s="96">
        <v>90</v>
      </c>
      <c r="AA12" s="97"/>
      <c r="AB12" s="95"/>
      <c r="AC12" s="96">
        <v>160</v>
      </c>
      <c r="AD12" s="97"/>
      <c r="AE12" s="95"/>
      <c r="AF12" s="96">
        <v>420</v>
      </c>
      <c r="AG12" s="105"/>
      <c r="AH12" s="231">
        <f>+Janvier!AJ12</f>
        <v>302.3901098901099</v>
      </c>
      <c r="AI12" s="231">
        <f>+Janvier!AK12</f>
        <v>940.76923076923083</v>
      </c>
      <c r="AJ12" s="231">
        <f>+Janvier!AL12</f>
        <v>705.57692307692321</v>
      </c>
      <c r="AK12" s="231">
        <f>+Janvier!AM12</f>
        <v>705.57692307692321</v>
      </c>
      <c r="AL12" s="231">
        <f>+Janvier!AN12</f>
        <v>427.62237762237766</v>
      </c>
      <c r="AM12" s="231">
        <f>+Janvier!AO12</f>
        <v>264.59134615384619</v>
      </c>
      <c r="AN12" s="231">
        <f>+Janvier!AP12</f>
        <v>529.18269230769238</v>
      </c>
      <c r="AO12" s="231">
        <f>+Janvier!AQ12</f>
        <v>264.59134615384619</v>
      </c>
      <c r="AP12" s="231">
        <f>+Janvier!AR12</f>
        <v>264.59134615384619</v>
      </c>
      <c r="AQ12" s="231">
        <f>+Janvier!AS12</f>
        <v>470.38461538461542</v>
      </c>
      <c r="AR12" s="19">
        <f t="shared" si="1"/>
        <v>3</v>
      </c>
      <c r="AS12" s="19">
        <f t="shared" si="3"/>
        <v>2</v>
      </c>
      <c r="AT12" s="19">
        <f t="shared" si="4"/>
        <v>2</v>
      </c>
      <c r="AU12" s="19">
        <f t="shared" si="5"/>
        <v>2</v>
      </c>
      <c r="AV12" s="19">
        <f t="shared" si="6"/>
        <v>3</v>
      </c>
      <c r="AW12" s="19">
        <f t="shared" si="7"/>
        <v>1</v>
      </c>
      <c r="AX12" s="19">
        <f t="shared" si="8"/>
        <v>5</v>
      </c>
      <c r="AY12" s="19">
        <f t="shared" si="9"/>
        <v>2</v>
      </c>
      <c r="AZ12" s="19">
        <f t="shared" si="10"/>
        <v>3</v>
      </c>
      <c r="BA12" s="20">
        <f t="shared" si="2"/>
        <v>4</v>
      </c>
    </row>
    <row r="13" spans="1:53" ht="15" thickBot="1" x14ac:dyDescent="0.35">
      <c r="A13" s="121" t="s">
        <v>105</v>
      </c>
      <c r="B13" s="143">
        <v>44013</v>
      </c>
      <c r="C13" s="234">
        <v>44035</v>
      </c>
      <c r="D13" s="249"/>
      <c r="E13" s="250">
        <v>180</v>
      </c>
      <c r="F13" s="251"/>
      <c r="G13" s="238"/>
      <c r="H13" s="109">
        <v>780</v>
      </c>
      <c r="I13" s="112">
        <v>0</v>
      </c>
      <c r="J13" s="111"/>
      <c r="K13" s="109">
        <v>600</v>
      </c>
      <c r="L13" s="110"/>
      <c r="M13" s="111"/>
      <c r="N13" s="109">
        <v>1776</v>
      </c>
      <c r="O13" s="110"/>
      <c r="P13" s="111"/>
      <c r="Q13" s="109">
        <v>342</v>
      </c>
      <c r="R13" s="110"/>
      <c r="S13" s="111"/>
      <c r="T13" s="109">
        <v>180</v>
      </c>
      <c r="U13" s="110"/>
      <c r="V13" s="111"/>
      <c r="W13" s="109">
        <v>680</v>
      </c>
      <c r="X13" s="110"/>
      <c r="Y13" s="111"/>
      <c r="Z13" s="109">
        <v>150</v>
      </c>
      <c r="AA13" s="110"/>
      <c r="AB13" s="111"/>
      <c r="AC13" s="109">
        <v>130</v>
      </c>
      <c r="AD13" s="110"/>
      <c r="AE13" s="111"/>
      <c r="AF13" s="109">
        <v>940</v>
      </c>
      <c r="AG13" s="112"/>
      <c r="AH13" s="231">
        <f>+Janvier!AJ13</f>
        <v>749.42307692307691</v>
      </c>
      <c r="AI13" s="231">
        <f>+Janvier!AK13</f>
        <v>2331.5384615384619</v>
      </c>
      <c r="AJ13" s="231">
        <f>+Janvier!AL13</f>
        <v>1748.6538461538464</v>
      </c>
      <c r="AK13" s="231">
        <f>+Janvier!AM13</f>
        <v>1748.6538461538464</v>
      </c>
      <c r="AL13" s="231">
        <f>+Janvier!AN13</f>
        <v>1059.7902097902099</v>
      </c>
      <c r="AM13" s="231">
        <f>+Janvier!AO13</f>
        <v>655.74519230769226</v>
      </c>
      <c r="AN13" s="231">
        <f>+Janvier!AP13</f>
        <v>1311.4903846153845</v>
      </c>
      <c r="AO13" s="231">
        <f>+Janvier!AQ13</f>
        <v>655.74519230769226</v>
      </c>
      <c r="AP13" s="231">
        <f>+Janvier!AR13</f>
        <v>655.74519230769226</v>
      </c>
      <c r="AQ13" s="231">
        <f>+Janvier!AS13</f>
        <v>1165.7692307692309</v>
      </c>
      <c r="AR13" s="29">
        <f t="shared" si="1"/>
        <v>1</v>
      </c>
      <c r="AS13" s="29">
        <f t="shared" si="3"/>
        <v>2</v>
      </c>
      <c r="AT13" s="29">
        <f t="shared" si="4"/>
        <v>2</v>
      </c>
      <c r="AU13" s="29">
        <f t="shared" si="5"/>
        <v>5</v>
      </c>
      <c r="AV13" s="29">
        <f t="shared" si="6"/>
        <v>2</v>
      </c>
      <c r="AW13" s="29">
        <f t="shared" si="7"/>
        <v>1</v>
      </c>
      <c r="AX13" s="29">
        <f t="shared" si="8"/>
        <v>3</v>
      </c>
      <c r="AY13" s="29">
        <f t="shared" si="9"/>
        <v>1</v>
      </c>
      <c r="AZ13" s="29">
        <f t="shared" si="10"/>
        <v>1</v>
      </c>
      <c r="BA13" s="30">
        <f t="shared" si="2"/>
        <v>4</v>
      </c>
    </row>
    <row r="14" spans="1:53" x14ac:dyDescent="0.3">
      <c r="A14" s="140" t="s">
        <v>85</v>
      </c>
      <c r="B14" s="152">
        <v>44013</v>
      </c>
      <c r="C14" s="242">
        <v>44035</v>
      </c>
      <c r="D14" s="155">
        <v>0</v>
      </c>
      <c r="E14" s="154">
        <v>1860</v>
      </c>
      <c r="F14" s="165">
        <v>0</v>
      </c>
      <c r="G14" s="245">
        <v>0</v>
      </c>
      <c r="H14" s="167">
        <v>4520</v>
      </c>
      <c r="I14" s="168">
        <v>0</v>
      </c>
      <c r="J14" s="155">
        <v>0</v>
      </c>
      <c r="K14" s="154">
        <v>6800</v>
      </c>
      <c r="L14" s="153">
        <v>0</v>
      </c>
      <c r="M14" s="155">
        <v>0</v>
      </c>
      <c r="N14" s="154">
        <v>7160</v>
      </c>
      <c r="O14" s="153">
        <v>0</v>
      </c>
      <c r="P14" s="155">
        <v>0</v>
      </c>
      <c r="Q14" s="154">
        <v>4004</v>
      </c>
      <c r="R14" s="153">
        <v>0</v>
      </c>
      <c r="S14" s="155">
        <v>0</v>
      </c>
      <c r="T14" s="154">
        <v>2800</v>
      </c>
      <c r="U14" s="153">
        <v>0</v>
      </c>
      <c r="V14" s="155">
        <v>0</v>
      </c>
      <c r="W14" s="154">
        <v>31110</v>
      </c>
      <c r="X14" s="153">
        <v>0</v>
      </c>
      <c r="Y14" s="155">
        <v>0</v>
      </c>
      <c r="Z14" s="154">
        <v>3000</v>
      </c>
      <c r="AA14" s="153">
        <v>0</v>
      </c>
      <c r="AB14" s="155">
        <v>0</v>
      </c>
      <c r="AC14" s="154">
        <v>2230</v>
      </c>
      <c r="AD14" s="153">
        <v>0</v>
      </c>
      <c r="AE14" s="155">
        <v>0</v>
      </c>
      <c r="AF14" s="154">
        <v>4850</v>
      </c>
      <c r="AG14" s="223">
        <v>0</v>
      </c>
      <c r="AH14" s="231">
        <f>+Janvier!AJ14</f>
        <v>10845.32625</v>
      </c>
      <c r="AI14" s="231">
        <f>+Janvier!AK14</f>
        <v>37883.076923076922</v>
      </c>
      <c r="AJ14" s="231">
        <f>+Janvier!AL14</f>
        <v>25230.129230769231</v>
      </c>
      <c r="AK14" s="231">
        <f>+Janvier!AM14</f>
        <v>25230.129230769231</v>
      </c>
      <c r="AL14" s="231">
        <f>+Janvier!AN14</f>
        <v>15910.892307692309</v>
      </c>
      <c r="AM14" s="231">
        <f>+Janvier!AO14</f>
        <v>9470.7692307692305</v>
      </c>
      <c r="AN14" s="231">
        <f>+Janvier!AP14</f>
        <v>18941.538461538461</v>
      </c>
      <c r="AO14" s="231">
        <f>+Janvier!AQ14</f>
        <v>9470.7692307692305</v>
      </c>
      <c r="AP14" s="231">
        <f>+Janvier!AR14</f>
        <v>9470.7692307692305</v>
      </c>
      <c r="AQ14" s="231">
        <f>+Janvier!AS14</f>
        <v>16836.800192307695</v>
      </c>
      <c r="AR14" s="16">
        <f>ROUND(E14/(AH14/15),0)</f>
        <v>3</v>
      </c>
      <c r="AS14" s="16">
        <f t="shared" ref="AS14" si="11">ROUND(H14/(AI14/15),0)</f>
        <v>2</v>
      </c>
      <c r="AT14" s="16">
        <f t="shared" ref="AT14" si="12">ROUND(K14/(AJ14/15),0)</f>
        <v>4</v>
      </c>
      <c r="AU14" s="16">
        <f t="shared" ref="AU14" si="13">ROUND(N14/(AK14/15),0)</f>
        <v>4</v>
      </c>
      <c r="AV14" s="16">
        <f t="shared" ref="AV14" si="14">ROUND(Q14/(AL14/15),0)</f>
        <v>4</v>
      </c>
      <c r="AW14" s="16">
        <f t="shared" ref="AW14" si="15">ROUND(T14/(AM14/15),0)</f>
        <v>4</v>
      </c>
      <c r="AX14" s="16">
        <f t="shared" ref="AX14" si="16">ROUND(W14/(AN14/15),0)</f>
        <v>25</v>
      </c>
      <c r="AY14" s="16">
        <f t="shared" ref="AY14" si="17">ROUND(Z14/(AO14/15),0)</f>
        <v>5</v>
      </c>
      <c r="AZ14" s="16">
        <f t="shared" ref="AZ14" si="18">ROUND(AC14/(AP14/15),0)</f>
        <v>4</v>
      </c>
      <c r="BA14" s="17">
        <f t="shared" ref="BA14" si="19">ROUND(AF14/(AQ14/15),0)</f>
        <v>4</v>
      </c>
    </row>
    <row r="15" spans="1:53" x14ac:dyDescent="0.3">
      <c r="A15" s="184" t="s">
        <v>57</v>
      </c>
      <c r="B15" s="127">
        <v>44013</v>
      </c>
      <c r="C15" s="243">
        <v>44035</v>
      </c>
      <c r="D15" s="130">
        <v>540</v>
      </c>
      <c r="E15" s="129">
        <v>120</v>
      </c>
      <c r="F15" s="169">
        <v>0</v>
      </c>
      <c r="G15" s="246">
        <v>1580</v>
      </c>
      <c r="H15" s="171">
        <v>260</v>
      </c>
      <c r="I15" s="172">
        <v>0</v>
      </c>
      <c r="J15" s="130">
        <v>1200</v>
      </c>
      <c r="K15" s="129">
        <v>60</v>
      </c>
      <c r="L15" s="128">
        <v>0</v>
      </c>
      <c r="M15" s="130">
        <v>1200</v>
      </c>
      <c r="N15" s="129">
        <v>120</v>
      </c>
      <c r="O15" s="128">
        <v>0</v>
      </c>
      <c r="P15" s="130">
        <v>719</v>
      </c>
      <c r="Q15" s="129">
        <v>119</v>
      </c>
      <c r="R15" s="128">
        <v>0</v>
      </c>
      <c r="S15" s="130">
        <v>400</v>
      </c>
      <c r="T15" s="129">
        <v>50</v>
      </c>
      <c r="U15" s="128">
        <v>0</v>
      </c>
      <c r="V15" s="130">
        <v>900</v>
      </c>
      <c r="W15" s="129">
        <v>210</v>
      </c>
      <c r="X15" s="128">
        <v>0</v>
      </c>
      <c r="Y15" s="130">
        <v>450</v>
      </c>
      <c r="Z15" s="129">
        <v>70</v>
      </c>
      <c r="AA15" s="128">
        <v>0</v>
      </c>
      <c r="AB15" s="130">
        <v>450</v>
      </c>
      <c r="AC15" s="129">
        <v>100</v>
      </c>
      <c r="AD15" s="128">
        <v>0</v>
      </c>
      <c r="AE15" s="130">
        <v>800</v>
      </c>
      <c r="AF15" s="129">
        <v>150</v>
      </c>
      <c r="AG15" s="224">
        <v>0</v>
      </c>
      <c r="AH15" s="231">
        <f>+Janvier!AJ15</f>
        <v>567.93956043956052</v>
      </c>
      <c r="AI15" s="231">
        <f>+Janvier!AK15</f>
        <v>1766.9230769230774</v>
      </c>
      <c r="AJ15" s="231">
        <f>+Janvier!AL15</f>
        <v>1325.1923076923076</v>
      </c>
      <c r="AK15" s="231">
        <f>+Janvier!AM15</f>
        <v>1325.1923076923076</v>
      </c>
      <c r="AL15" s="231">
        <f>+Janvier!AN15</f>
        <v>803.14685314685323</v>
      </c>
      <c r="AM15" s="231">
        <f>+Janvier!AO15</f>
        <v>496.94711538461542</v>
      </c>
      <c r="AN15" s="231">
        <f>+Janvier!AP15</f>
        <v>993.89423076923083</v>
      </c>
      <c r="AO15" s="231">
        <f>+Janvier!AQ15</f>
        <v>496.94711538461542</v>
      </c>
      <c r="AP15" s="231">
        <f>+Janvier!AR15</f>
        <v>496.94711538461542</v>
      </c>
      <c r="AQ15" s="231">
        <f>+Janvier!AS15</f>
        <v>883.46153846153868</v>
      </c>
      <c r="AR15" s="16">
        <f t="shared" ref="AR15:AR20" si="20">ROUND(E15/(AH15/5),0)</f>
        <v>1</v>
      </c>
      <c r="AS15" s="16">
        <f t="shared" ref="AS15:AS20" si="21">ROUND(H15/(AI15/5),0)</f>
        <v>1</v>
      </c>
      <c r="AT15" s="16">
        <f t="shared" ref="AT15:AT20" si="22">ROUND(K15/(AJ15/5),0)</f>
        <v>0</v>
      </c>
      <c r="AU15" s="16">
        <f t="shared" ref="AU15:AU20" si="23">ROUND(N15/(AK15/5),0)</f>
        <v>0</v>
      </c>
      <c r="AV15" s="16">
        <f t="shared" ref="AV15:AV20" si="24">ROUND(Q15/(AL15/5),0)</f>
        <v>1</v>
      </c>
      <c r="AW15" s="16">
        <f t="shared" ref="AW15:AW20" si="25">ROUND(T15/(AM15/5),0)</f>
        <v>1</v>
      </c>
      <c r="AX15" s="16">
        <f t="shared" ref="AX15:AX20" si="26">ROUND(W15/(AN15/5),0)</f>
        <v>1</v>
      </c>
      <c r="AY15" s="16">
        <f t="shared" ref="AY15:AY20" si="27">ROUND(Z15/(AO15/5),0)</f>
        <v>1</v>
      </c>
      <c r="AZ15" s="16">
        <f t="shared" ref="AZ15:AZ20" si="28">ROUND(AC15/(AP15/5),0)</f>
        <v>1</v>
      </c>
      <c r="BA15" s="17">
        <f t="shared" ref="BA15:BA20" si="29">ROUND(AF15/(AQ15/5),0)</f>
        <v>1</v>
      </c>
    </row>
    <row r="16" spans="1:53" x14ac:dyDescent="0.3">
      <c r="A16" s="184" t="s">
        <v>58</v>
      </c>
      <c r="B16" s="127">
        <v>44013</v>
      </c>
      <c r="C16" s="243">
        <v>44035</v>
      </c>
      <c r="D16" s="130">
        <v>1500</v>
      </c>
      <c r="E16" s="129">
        <v>80</v>
      </c>
      <c r="F16" s="169">
        <v>0</v>
      </c>
      <c r="G16" s="246">
        <v>2780</v>
      </c>
      <c r="H16" s="171">
        <v>980</v>
      </c>
      <c r="I16" s="172">
        <v>0</v>
      </c>
      <c r="J16" s="130">
        <v>3220</v>
      </c>
      <c r="K16" s="129">
        <v>640</v>
      </c>
      <c r="L16" s="131">
        <v>0</v>
      </c>
      <c r="M16" s="130">
        <v>3016</v>
      </c>
      <c r="N16" s="129">
        <v>758</v>
      </c>
      <c r="O16" s="128">
        <v>0</v>
      </c>
      <c r="P16" s="130">
        <v>1439</v>
      </c>
      <c r="Q16" s="129">
        <v>707</v>
      </c>
      <c r="R16" s="128">
        <v>0</v>
      </c>
      <c r="S16" s="130">
        <v>600</v>
      </c>
      <c r="T16" s="129">
        <v>130</v>
      </c>
      <c r="U16" s="128">
        <v>0</v>
      </c>
      <c r="V16" s="130">
        <v>1580</v>
      </c>
      <c r="W16" s="129">
        <v>670</v>
      </c>
      <c r="X16" s="128">
        <v>0</v>
      </c>
      <c r="Y16" s="130">
        <v>870</v>
      </c>
      <c r="Z16" s="129">
        <v>250</v>
      </c>
      <c r="AA16" s="128">
        <v>0</v>
      </c>
      <c r="AB16" s="130">
        <v>1090</v>
      </c>
      <c r="AC16" s="129">
        <v>370</v>
      </c>
      <c r="AD16" s="128">
        <v>0</v>
      </c>
      <c r="AE16" s="130">
        <v>1770</v>
      </c>
      <c r="AF16" s="129">
        <v>640</v>
      </c>
      <c r="AG16" s="224">
        <v>0</v>
      </c>
      <c r="AH16" s="231">
        <f>+Janvier!AJ16</f>
        <v>952.54120879120887</v>
      </c>
      <c r="AI16" s="231">
        <f>+Janvier!AK16</f>
        <v>2963.4615384615386</v>
      </c>
      <c r="AJ16" s="231">
        <f>+Janvier!AL16</f>
        <v>2222.5961538461538</v>
      </c>
      <c r="AK16" s="231">
        <f>+Janvier!AM16</f>
        <v>2222.5961538461538</v>
      </c>
      <c r="AL16" s="231">
        <f>+Janvier!AN16</f>
        <v>1347.0279720279721</v>
      </c>
      <c r="AM16" s="231">
        <f>+Janvier!AO16</f>
        <v>833.47355769230774</v>
      </c>
      <c r="AN16" s="231">
        <f>+Janvier!AP16</f>
        <v>1666.9471153846155</v>
      </c>
      <c r="AO16" s="231">
        <f>+Janvier!AQ16</f>
        <v>833.47355769230774</v>
      </c>
      <c r="AP16" s="231">
        <f>+Janvier!AR16</f>
        <v>833.47355769230774</v>
      </c>
      <c r="AQ16" s="231">
        <f>+Janvier!AS16</f>
        <v>1481.7307692307693</v>
      </c>
      <c r="AR16" s="16">
        <f t="shared" si="20"/>
        <v>0</v>
      </c>
      <c r="AS16" s="16">
        <f t="shared" si="21"/>
        <v>2</v>
      </c>
      <c r="AT16" s="16">
        <f t="shared" si="22"/>
        <v>1</v>
      </c>
      <c r="AU16" s="16">
        <f t="shared" si="23"/>
        <v>2</v>
      </c>
      <c r="AV16" s="16">
        <f t="shared" si="24"/>
        <v>3</v>
      </c>
      <c r="AW16" s="16">
        <f t="shared" si="25"/>
        <v>1</v>
      </c>
      <c r="AX16" s="16">
        <f t="shared" si="26"/>
        <v>2</v>
      </c>
      <c r="AY16" s="16">
        <f t="shared" si="27"/>
        <v>1</v>
      </c>
      <c r="AZ16" s="16">
        <f t="shared" si="28"/>
        <v>2</v>
      </c>
      <c r="BA16" s="17">
        <f t="shared" si="29"/>
        <v>2</v>
      </c>
    </row>
    <row r="17" spans="1:53" x14ac:dyDescent="0.3">
      <c r="A17" s="184" t="s">
        <v>59</v>
      </c>
      <c r="B17" s="127">
        <v>44013</v>
      </c>
      <c r="C17" s="243">
        <v>44035</v>
      </c>
      <c r="D17" s="130">
        <v>680</v>
      </c>
      <c r="E17" s="129">
        <v>40</v>
      </c>
      <c r="F17" s="169">
        <v>0</v>
      </c>
      <c r="G17" s="246">
        <v>1440</v>
      </c>
      <c r="H17" s="171">
        <v>520</v>
      </c>
      <c r="I17" s="172">
        <v>0</v>
      </c>
      <c r="J17" s="130">
        <v>1310</v>
      </c>
      <c r="K17" s="129">
        <v>140</v>
      </c>
      <c r="L17" s="128">
        <v>0</v>
      </c>
      <c r="M17" s="130">
        <v>1400</v>
      </c>
      <c r="N17" s="129">
        <v>200</v>
      </c>
      <c r="O17" s="128">
        <v>0</v>
      </c>
      <c r="P17" s="130">
        <v>850</v>
      </c>
      <c r="Q17" s="129">
        <v>225</v>
      </c>
      <c r="R17" s="128">
        <v>0</v>
      </c>
      <c r="S17" s="130">
        <v>520</v>
      </c>
      <c r="T17" s="129">
        <v>90</v>
      </c>
      <c r="U17" s="128">
        <v>0</v>
      </c>
      <c r="V17" s="130">
        <v>700</v>
      </c>
      <c r="W17" s="129">
        <v>500</v>
      </c>
      <c r="X17" s="128">
        <v>0</v>
      </c>
      <c r="Y17" s="130">
        <v>440</v>
      </c>
      <c r="Z17" s="129">
        <v>170</v>
      </c>
      <c r="AA17" s="128">
        <v>0</v>
      </c>
      <c r="AB17" s="130">
        <v>430</v>
      </c>
      <c r="AC17" s="129">
        <v>170</v>
      </c>
      <c r="AD17" s="128">
        <v>0</v>
      </c>
      <c r="AE17" s="130">
        <v>920</v>
      </c>
      <c r="AF17" s="129">
        <v>370</v>
      </c>
      <c r="AG17" s="224">
        <v>0</v>
      </c>
      <c r="AH17" s="231">
        <f>+Janvier!AJ17</f>
        <v>506.86813186813191</v>
      </c>
      <c r="AI17" s="231">
        <f>+Janvier!AK17</f>
        <v>1576.9230769230767</v>
      </c>
      <c r="AJ17" s="231">
        <f>+Janvier!AL17</f>
        <v>1182.6923076923076</v>
      </c>
      <c r="AK17" s="231">
        <f>+Janvier!AM17</f>
        <v>1182.6923076923076</v>
      </c>
      <c r="AL17" s="231">
        <f>+Janvier!AN17</f>
        <v>716.78321678321686</v>
      </c>
      <c r="AM17" s="231">
        <f>+Janvier!AO17</f>
        <v>443.50961538461542</v>
      </c>
      <c r="AN17" s="231">
        <f>+Janvier!AP17</f>
        <v>887.01923076923083</v>
      </c>
      <c r="AO17" s="231">
        <f>+Janvier!AQ17</f>
        <v>443.50961538461542</v>
      </c>
      <c r="AP17" s="231">
        <f>+Janvier!AR17</f>
        <v>443.50961538461542</v>
      </c>
      <c r="AQ17" s="231">
        <f>+Janvier!AS17</f>
        <v>788.46153846153834</v>
      </c>
      <c r="AR17" s="16">
        <f t="shared" si="20"/>
        <v>0</v>
      </c>
      <c r="AS17" s="16">
        <f t="shared" si="21"/>
        <v>2</v>
      </c>
      <c r="AT17" s="16">
        <f t="shared" si="22"/>
        <v>1</v>
      </c>
      <c r="AU17" s="16">
        <f t="shared" si="23"/>
        <v>1</v>
      </c>
      <c r="AV17" s="16">
        <f t="shared" si="24"/>
        <v>2</v>
      </c>
      <c r="AW17" s="16">
        <f t="shared" si="25"/>
        <v>1</v>
      </c>
      <c r="AX17" s="16">
        <f t="shared" si="26"/>
        <v>3</v>
      </c>
      <c r="AY17" s="16">
        <f t="shared" si="27"/>
        <v>2</v>
      </c>
      <c r="AZ17" s="16">
        <f t="shared" si="28"/>
        <v>2</v>
      </c>
      <c r="BA17" s="17">
        <f t="shared" si="29"/>
        <v>2</v>
      </c>
    </row>
    <row r="18" spans="1:53" x14ac:dyDescent="0.3">
      <c r="A18" s="184" t="s">
        <v>60</v>
      </c>
      <c r="B18" s="127">
        <v>44013</v>
      </c>
      <c r="C18" s="243">
        <v>44035</v>
      </c>
      <c r="D18" s="130">
        <v>700</v>
      </c>
      <c r="E18" s="129"/>
      <c r="F18" s="169">
        <v>0</v>
      </c>
      <c r="G18" s="246">
        <v>1560</v>
      </c>
      <c r="H18" s="171"/>
      <c r="I18" s="172">
        <v>0</v>
      </c>
      <c r="J18" s="130">
        <v>1570</v>
      </c>
      <c r="K18" s="129"/>
      <c r="L18" s="131">
        <v>0</v>
      </c>
      <c r="M18" s="130">
        <v>1460</v>
      </c>
      <c r="N18" s="129"/>
      <c r="O18" s="131">
        <v>0</v>
      </c>
      <c r="P18" s="130">
        <v>707</v>
      </c>
      <c r="Q18" s="129"/>
      <c r="R18" s="128">
        <v>0</v>
      </c>
      <c r="S18" s="130">
        <v>455</v>
      </c>
      <c r="T18" s="129"/>
      <c r="U18" s="128">
        <v>0</v>
      </c>
      <c r="V18" s="130">
        <v>580</v>
      </c>
      <c r="W18" s="129"/>
      <c r="X18" s="128">
        <v>0</v>
      </c>
      <c r="Y18" s="130">
        <v>440</v>
      </c>
      <c r="Z18" s="129"/>
      <c r="AA18" s="128">
        <v>0</v>
      </c>
      <c r="AB18" s="130">
        <v>380</v>
      </c>
      <c r="AC18" s="129"/>
      <c r="AD18" s="128">
        <v>0</v>
      </c>
      <c r="AE18" s="130">
        <v>660</v>
      </c>
      <c r="AF18" s="129"/>
      <c r="AG18" s="224">
        <v>0</v>
      </c>
      <c r="AH18" s="231">
        <f>+Janvier!AJ18</f>
        <v>785.76923076923083</v>
      </c>
      <c r="AI18" s="231">
        <f>+Janvier!AK18</f>
        <v>2444.6153846153852</v>
      </c>
      <c r="AJ18" s="231">
        <f>+Janvier!AL18</f>
        <v>1833.4615384615383</v>
      </c>
      <c r="AK18" s="231">
        <f>+Janvier!AM18</f>
        <v>1833.4615384615383</v>
      </c>
      <c r="AL18" s="231">
        <f>+Janvier!AN18</f>
        <v>1111.1888111888113</v>
      </c>
      <c r="AM18" s="231">
        <f>+Janvier!AO18</f>
        <v>687.54807692307713</v>
      </c>
      <c r="AN18" s="231">
        <f>+Janvier!AP18</f>
        <v>1375.0961538461543</v>
      </c>
      <c r="AO18" s="231">
        <f>+Janvier!AQ18</f>
        <v>687.54807692307713</v>
      </c>
      <c r="AP18" s="231">
        <f>+Janvier!AR18</f>
        <v>687.54807692307713</v>
      </c>
      <c r="AQ18" s="231">
        <f>+Janvier!AS18</f>
        <v>1222.3076923076926</v>
      </c>
      <c r="AR18" s="16">
        <f t="shared" si="20"/>
        <v>0</v>
      </c>
      <c r="AS18" s="16">
        <f t="shared" si="21"/>
        <v>0</v>
      </c>
      <c r="AT18" s="16">
        <f t="shared" si="22"/>
        <v>0</v>
      </c>
      <c r="AU18" s="16">
        <f t="shared" si="23"/>
        <v>0</v>
      </c>
      <c r="AV18" s="16">
        <f t="shared" si="24"/>
        <v>0</v>
      </c>
      <c r="AW18" s="16">
        <f t="shared" si="25"/>
        <v>0</v>
      </c>
      <c r="AX18" s="16">
        <f t="shared" si="26"/>
        <v>0</v>
      </c>
      <c r="AY18" s="16">
        <f t="shared" si="27"/>
        <v>0</v>
      </c>
      <c r="AZ18" s="16">
        <f t="shared" si="28"/>
        <v>0</v>
      </c>
      <c r="BA18" s="17">
        <f t="shared" si="29"/>
        <v>0</v>
      </c>
    </row>
    <row r="19" spans="1:53" x14ac:dyDescent="0.3">
      <c r="A19" s="184" t="s">
        <v>61</v>
      </c>
      <c r="B19" s="127">
        <v>44013</v>
      </c>
      <c r="C19" s="243">
        <v>44035</v>
      </c>
      <c r="D19" s="130">
        <v>380</v>
      </c>
      <c r="E19" s="129">
        <v>300</v>
      </c>
      <c r="F19" s="169">
        <v>0</v>
      </c>
      <c r="G19" s="247">
        <v>1000</v>
      </c>
      <c r="H19" s="175">
        <v>940</v>
      </c>
      <c r="I19" s="176">
        <v>0</v>
      </c>
      <c r="J19" s="134">
        <v>770</v>
      </c>
      <c r="K19" s="133">
        <v>730</v>
      </c>
      <c r="L19" s="132">
        <v>0</v>
      </c>
      <c r="M19" s="134">
        <v>724</v>
      </c>
      <c r="N19" s="133">
        <v>744</v>
      </c>
      <c r="O19" s="132">
        <v>0</v>
      </c>
      <c r="P19" s="134">
        <v>0</v>
      </c>
      <c r="Q19" s="133">
        <v>1171</v>
      </c>
      <c r="R19" s="132">
        <v>0</v>
      </c>
      <c r="S19" s="134">
        <v>315</v>
      </c>
      <c r="T19" s="133">
        <v>260</v>
      </c>
      <c r="U19" s="132">
        <v>0</v>
      </c>
      <c r="V19" s="134">
        <v>0</v>
      </c>
      <c r="W19" s="133">
        <v>590</v>
      </c>
      <c r="X19" s="132">
        <v>0</v>
      </c>
      <c r="Y19" s="134">
        <v>170</v>
      </c>
      <c r="Z19" s="133">
        <v>500</v>
      </c>
      <c r="AA19" s="132">
        <v>0</v>
      </c>
      <c r="AB19" s="134">
        <v>100</v>
      </c>
      <c r="AC19" s="133">
        <v>480</v>
      </c>
      <c r="AD19" s="132">
        <v>0</v>
      </c>
      <c r="AE19" s="134">
        <v>0</v>
      </c>
      <c r="AF19" s="133">
        <v>1300</v>
      </c>
      <c r="AG19" s="225">
        <v>0</v>
      </c>
      <c r="AH19" s="231">
        <f>+Janvier!AJ19</f>
        <v>309.43681318681325</v>
      </c>
      <c r="AI19" s="231">
        <f>+Janvier!AK19</f>
        <v>962.69230769230785</v>
      </c>
      <c r="AJ19" s="231">
        <f>+Janvier!AL19</f>
        <v>722.01923076923083</v>
      </c>
      <c r="AK19" s="231">
        <f>+Janvier!AM19</f>
        <v>722.01923076923083</v>
      </c>
      <c r="AL19" s="231">
        <f>+Janvier!AN19</f>
        <v>437.5874125874127</v>
      </c>
      <c r="AM19" s="231">
        <f>+Janvier!AO19</f>
        <v>270.75721153846155</v>
      </c>
      <c r="AN19" s="231">
        <f>+Janvier!AP19</f>
        <v>541.51442307692309</v>
      </c>
      <c r="AO19" s="231">
        <f>+Janvier!AQ19</f>
        <v>270.75721153846155</v>
      </c>
      <c r="AP19" s="231">
        <f>+Janvier!AR19</f>
        <v>270.75721153846155</v>
      </c>
      <c r="AQ19" s="231">
        <f>+Janvier!AS19</f>
        <v>481.34615384615392</v>
      </c>
      <c r="AR19" s="16">
        <f t="shared" si="20"/>
        <v>5</v>
      </c>
      <c r="AS19" s="16">
        <f t="shared" si="21"/>
        <v>5</v>
      </c>
      <c r="AT19" s="16">
        <f t="shared" si="22"/>
        <v>5</v>
      </c>
      <c r="AU19" s="16">
        <f t="shared" si="23"/>
        <v>5</v>
      </c>
      <c r="AV19" s="16">
        <f t="shared" si="24"/>
        <v>13</v>
      </c>
      <c r="AW19" s="16">
        <f t="shared" si="25"/>
        <v>5</v>
      </c>
      <c r="AX19" s="16">
        <f t="shared" si="26"/>
        <v>5</v>
      </c>
      <c r="AY19" s="16">
        <f t="shared" si="27"/>
        <v>9</v>
      </c>
      <c r="AZ19" s="16">
        <f t="shared" si="28"/>
        <v>9</v>
      </c>
      <c r="BA19" s="17">
        <f t="shared" si="29"/>
        <v>14</v>
      </c>
    </row>
    <row r="20" spans="1:53" ht="15" thickBot="1" x14ac:dyDescent="0.35">
      <c r="A20" s="121" t="s">
        <v>62</v>
      </c>
      <c r="B20" s="156">
        <v>44013</v>
      </c>
      <c r="C20" s="244">
        <v>44035</v>
      </c>
      <c r="D20" s="159">
        <v>460</v>
      </c>
      <c r="E20" s="158">
        <v>40</v>
      </c>
      <c r="F20" s="177">
        <v>0</v>
      </c>
      <c r="G20" s="248">
        <v>1040</v>
      </c>
      <c r="H20" s="179">
        <v>1160</v>
      </c>
      <c r="I20" s="180">
        <v>0</v>
      </c>
      <c r="J20" s="159">
        <v>660</v>
      </c>
      <c r="K20" s="158">
        <v>610</v>
      </c>
      <c r="L20" s="157">
        <v>0</v>
      </c>
      <c r="M20" s="159">
        <v>540</v>
      </c>
      <c r="N20" s="158">
        <v>720</v>
      </c>
      <c r="O20" s="157">
        <v>0</v>
      </c>
      <c r="P20" s="159">
        <v>638</v>
      </c>
      <c r="Q20" s="158">
        <v>340</v>
      </c>
      <c r="R20" s="157">
        <v>0</v>
      </c>
      <c r="S20" s="159">
        <v>360</v>
      </c>
      <c r="T20" s="158">
        <v>260</v>
      </c>
      <c r="U20" s="157">
        <v>0</v>
      </c>
      <c r="V20" s="159">
        <v>500</v>
      </c>
      <c r="W20" s="158">
        <v>530</v>
      </c>
      <c r="X20" s="157">
        <v>0</v>
      </c>
      <c r="Y20" s="159">
        <v>390</v>
      </c>
      <c r="Z20" s="158">
        <v>370</v>
      </c>
      <c r="AA20" s="157">
        <v>0</v>
      </c>
      <c r="AB20" s="159">
        <v>390</v>
      </c>
      <c r="AC20" s="158">
        <v>60</v>
      </c>
      <c r="AD20" s="157">
        <v>0</v>
      </c>
      <c r="AE20" s="159">
        <v>400</v>
      </c>
      <c r="AF20" s="158">
        <v>270</v>
      </c>
      <c r="AG20" s="226">
        <v>0</v>
      </c>
      <c r="AH20" s="231">
        <f>+Janvier!AJ20</f>
        <v>485.2335164835165</v>
      </c>
      <c r="AI20" s="231">
        <f>+Janvier!AK20</f>
        <v>1509.6153846153845</v>
      </c>
      <c r="AJ20" s="231">
        <f>+Janvier!AL20</f>
        <v>1132.2115384615383</v>
      </c>
      <c r="AK20" s="231">
        <f>+Janvier!AM20</f>
        <v>1132.2115384615383</v>
      </c>
      <c r="AL20" s="231">
        <f>+Janvier!AN20</f>
        <v>686.1888111888112</v>
      </c>
      <c r="AM20" s="231">
        <f>+Janvier!AO20</f>
        <v>424.57932692307691</v>
      </c>
      <c r="AN20" s="231">
        <f>+Janvier!AP20</f>
        <v>849.15865384615381</v>
      </c>
      <c r="AO20" s="231">
        <f>+Janvier!AQ20</f>
        <v>424.57932692307691</v>
      </c>
      <c r="AP20" s="231">
        <f>+Janvier!AR20</f>
        <v>424.57932692307691</v>
      </c>
      <c r="AQ20" s="231">
        <f>+Janvier!AS20</f>
        <v>754.80769230769226</v>
      </c>
      <c r="AR20" s="32">
        <f t="shared" si="20"/>
        <v>0</v>
      </c>
      <c r="AS20" s="32">
        <f t="shared" si="21"/>
        <v>4</v>
      </c>
      <c r="AT20" s="32">
        <f t="shared" si="22"/>
        <v>3</v>
      </c>
      <c r="AU20" s="32">
        <f t="shared" si="23"/>
        <v>3</v>
      </c>
      <c r="AV20" s="32">
        <f t="shared" si="24"/>
        <v>2</v>
      </c>
      <c r="AW20" s="32">
        <f t="shared" si="25"/>
        <v>3</v>
      </c>
      <c r="AX20" s="32">
        <f t="shared" si="26"/>
        <v>3</v>
      </c>
      <c r="AY20" s="32">
        <f t="shared" si="27"/>
        <v>4</v>
      </c>
      <c r="AZ20" s="32">
        <f t="shared" si="28"/>
        <v>1</v>
      </c>
      <c r="BA20" s="33">
        <f t="shared" si="29"/>
        <v>2</v>
      </c>
    </row>
    <row r="21" spans="1:53" x14ac:dyDescent="0.3">
      <c r="A21" s="140" t="s">
        <v>91</v>
      </c>
      <c r="B21" s="160">
        <v>44013</v>
      </c>
      <c r="C21" s="160">
        <v>44035</v>
      </c>
      <c r="D21" s="252">
        <v>0</v>
      </c>
      <c r="E21" s="149">
        <v>3220</v>
      </c>
      <c r="F21" s="150">
        <v>0</v>
      </c>
      <c r="G21" s="125">
        <v>0</v>
      </c>
      <c r="H21" s="123">
        <v>62140</v>
      </c>
      <c r="I21" s="126">
        <v>0</v>
      </c>
      <c r="J21" s="125">
        <v>0</v>
      </c>
      <c r="K21" s="123">
        <v>32580</v>
      </c>
      <c r="L21" s="124">
        <v>0</v>
      </c>
      <c r="M21" s="125">
        <v>0</v>
      </c>
      <c r="N21" s="123">
        <v>32972</v>
      </c>
      <c r="O21" s="124">
        <v>0</v>
      </c>
      <c r="P21" s="125">
        <v>0</v>
      </c>
      <c r="Q21" s="123">
        <v>20468</v>
      </c>
      <c r="R21" s="124">
        <v>0</v>
      </c>
      <c r="S21" s="125">
        <v>0</v>
      </c>
      <c r="T21" s="123">
        <v>10945</v>
      </c>
      <c r="U21" s="124">
        <v>0</v>
      </c>
      <c r="V21" s="125">
        <v>0</v>
      </c>
      <c r="W21" s="123">
        <v>48690</v>
      </c>
      <c r="X21" s="124">
        <v>0</v>
      </c>
      <c r="Y21" s="125">
        <v>0</v>
      </c>
      <c r="Z21" s="114">
        <v>15700</v>
      </c>
      <c r="AA21" s="115">
        <v>0</v>
      </c>
      <c r="AB21" s="113">
        <v>0</v>
      </c>
      <c r="AC21" s="123">
        <v>17770</v>
      </c>
      <c r="AD21" s="124">
        <v>0</v>
      </c>
      <c r="AE21" s="125">
        <v>0</v>
      </c>
      <c r="AF21" s="123">
        <v>51480</v>
      </c>
      <c r="AG21" s="126">
        <v>0</v>
      </c>
      <c r="AH21" s="231">
        <f>+Janvier!AJ21</f>
        <v>46732.578750000001</v>
      </c>
      <c r="AI21" s="231">
        <f>+Janvier!AK21</f>
        <v>160746.05769230769</v>
      </c>
      <c r="AJ21" s="231">
        <f>+Janvier!AL21</f>
        <v>107056.87442307695</v>
      </c>
      <c r="AK21" s="231">
        <f>+Janvier!AM21</f>
        <v>107056.87442307695</v>
      </c>
      <c r="AL21" s="231">
        <f>+Janvier!AN21</f>
        <v>67513.344230769231</v>
      </c>
      <c r="AM21" s="231">
        <f>+Janvier!AO21</f>
        <v>40186.514423076922</v>
      </c>
      <c r="AN21" s="231">
        <f>+Janvier!AP21</f>
        <v>80373.028846153844</v>
      </c>
      <c r="AO21" s="231">
        <f>+Janvier!AQ21</f>
        <v>40186.514423076922</v>
      </c>
      <c r="AP21" s="231">
        <f>+Janvier!AR21</f>
        <v>40186.514423076922</v>
      </c>
      <c r="AQ21" s="231">
        <f>+Janvier!AS21</f>
        <v>72549.877500000002</v>
      </c>
      <c r="AR21" s="90">
        <f>ROUND(E21/(AH21/15),0)</f>
        <v>1</v>
      </c>
      <c r="AS21" s="90">
        <f t="shared" ref="AS21" si="30">ROUND(H21/(AI21/15),0)</f>
        <v>6</v>
      </c>
      <c r="AT21" s="90">
        <f t="shared" ref="AT21" si="31">ROUND(K21/(AJ21/15),0)</f>
        <v>5</v>
      </c>
      <c r="AU21" s="90">
        <f t="shared" ref="AU21" si="32">ROUND(N21/(AK21/15),0)</f>
        <v>5</v>
      </c>
      <c r="AV21" s="90">
        <f t="shared" ref="AV21" si="33">ROUND(Q21/(AL21/15),0)</f>
        <v>5</v>
      </c>
      <c r="AW21" s="90">
        <f t="shared" ref="AW21" si="34">ROUND(T21/(AM21/15),0)</f>
        <v>4</v>
      </c>
      <c r="AX21" s="90">
        <f t="shared" ref="AX21" si="35">ROUND(W21/(AN21/15),0)</f>
        <v>9</v>
      </c>
      <c r="AY21" s="90">
        <f t="shared" ref="AY21" si="36">ROUND(Z21/(AO21/15),0)</f>
        <v>6</v>
      </c>
      <c r="AZ21" s="90">
        <f t="shared" ref="AZ21" si="37">ROUND(AC21/(AP21/15),0)</f>
        <v>7</v>
      </c>
      <c r="BA21" s="91">
        <f t="shared" ref="BA21" si="38">ROUND(AF21/(AQ21/15),0)</f>
        <v>11</v>
      </c>
    </row>
    <row r="22" spans="1:53" x14ac:dyDescent="0.3">
      <c r="A22" s="184" t="s">
        <v>14</v>
      </c>
      <c r="B22" s="94">
        <v>44013</v>
      </c>
      <c r="C22" s="94">
        <v>44035</v>
      </c>
      <c r="D22" s="104">
        <v>1420</v>
      </c>
      <c r="E22" s="96">
        <v>2060</v>
      </c>
      <c r="F22" s="97">
        <v>0</v>
      </c>
      <c r="G22" s="95">
        <v>4000</v>
      </c>
      <c r="H22" s="96">
        <v>5940</v>
      </c>
      <c r="I22" s="105">
        <v>0</v>
      </c>
      <c r="J22" s="95">
        <v>3240</v>
      </c>
      <c r="K22" s="96">
        <v>4430</v>
      </c>
      <c r="L22" s="97">
        <v>0</v>
      </c>
      <c r="M22" s="95">
        <v>3080</v>
      </c>
      <c r="N22" s="96">
        <v>4548</v>
      </c>
      <c r="O22" s="97">
        <v>0</v>
      </c>
      <c r="P22" s="95">
        <v>2020</v>
      </c>
      <c r="Q22" s="96">
        <v>2909</v>
      </c>
      <c r="R22" s="97">
        <v>0</v>
      </c>
      <c r="S22" s="95">
        <v>1040</v>
      </c>
      <c r="T22" s="96">
        <v>1500</v>
      </c>
      <c r="U22" s="97">
        <v>0</v>
      </c>
      <c r="V22" s="95">
        <v>1660</v>
      </c>
      <c r="W22" s="96">
        <v>3540</v>
      </c>
      <c r="X22" s="97">
        <v>0</v>
      </c>
      <c r="Y22" s="95">
        <v>1020</v>
      </c>
      <c r="Z22" s="96">
        <v>1750</v>
      </c>
      <c r="AA22" s="100">
        <v>0</v>
      </c>
      <c r="AB22" s="95">
        <v>1020</v>
      </c>
      <c r="AC22" s="96">
        <v>1750</v>
      </c>
      <c r="AD22" s="97">
        <v>0</v>
      </c>
      <c r="AE22" s="95">
        <v>1200</v>
      </c>
      <c r="AF22" s="96">
        <v>3210</v>
      </c>
      <c r="AG22" s="105">
        <v>0</v>
      </c>
      <c r="AH22" s="231">
        <f>+Janvier!AJ22</f>
        <v>1770.3296703296703</v>
      </c>
      <c r="AI22" s="231">
        <f>+Janvier!AK22</f>
        <v>5507.6923076923067</v>
      </c>
      <c r="AJ22" s="231">
        <f>+Janvier!AL22</f>
        <v>4130.7692307692305</v>
      </c>
      <c r="AK22" s="231">
        <f>+Janvier!AM22</f>
        <v>4130.7692307692305</v>
      </c>
      <c r="AL22" s="231">
        <f>+Janvier!AN22</f>
        <v>2503.4965034965039</v>
      </c>
      <c r="AM22" s="231">
        <f>+Janvier!AO22</f>
        <v>1549.0384615384617</v>
      </c>
      <c r="AN22" s="231">
        <f>+Janvier!AP22</f>
        <v>3098.0769230769233</v>
      </c>
      <c r="AO22" s="231">
        <f>+Janvier!AQ22</f>
        <v>1549.0384615384617</v>
      </c>
      <c r="AP22" s="231">
        <f>+Janvier!AR22</f>
        <v>1549.0384615384617</v>
      </c>
      <c r="AQ22" s="231">
        <f>+Janvier!AS22</f>
        <v>2753.8461538461534</v>
      </c>
      <c r="AR22" s="90">
        <f t="shared" ref="AR22:AR29" si="39">ROUND(E22/(AH22/5),0)</f>
        <v>6</v>
      </c>
      <c r="AS22" s="90">
        <f t="shared" ref="AS22:AS29" si="40">ROUND(H22/(AI22/5),0)</f>
        <v>5</v>
      </c>
      <c r="AT22" s="90">
        <f t="shared" ref="AT22:AT29" si="41">ROUND(K22/(AJ22/5),0)</f>
        <v>5</v>
      </c>
      <c r="AU22" s="90">
        <f t="shared" ref="AU22:AU29" si="42">ROUND(N22/(AK22/5),0)</f>
        <v>6</v>
      </c>
      <c r="AV22" s="90">
        <f t="shared" ref="AV22:AV29" si="43">ROUND(Q22/(AL22/5),0)</f>
        <v>6</v>
      </c>
      <c r="AW22" s="90">
        <f t="shared" ref="AW22:AW29" si="44">ROUND(T22/(AM22/5),0)</f>
        <v>5</v>
      </c>
      <c r="AX22" s="90">
        <f t="shared" ref="AX22" si="45">ROUND(W22/(AN22/5),0)</f>
        <v>6</v>
      </c>
      <c r="AY22" s="90">
        <f t="shared" ref="AY22:AY29" si="46">ROUND(Z22/(AO22/5),0)</f>
        <v>6</v>
      </c>
      <c r="AZ22" s="90">
        <f t="shared" ref="AZ22:AZ29" si="47">ROUND(AC22/(AP22/5),0)</f>
        <v>6</v>
      </c>
      <c r="BA22" s="91">
        <f t="shared" ref="BA22:BA29" si="48">ROUND(AF22/(AQ22/5),0)</f>
        <v>6</v>
      </c>
    </row>
    <row r="23" spans="1:53" x14ac:dyDescent="0.3">
      <c r="A23" s="184" t="s">
        <v>15</v>
      </c>
      <c r="B23" s="94">
        <v>44013</v>
      </c>
      <c r="C23" s="94">
        <v>44035</v>
      </c>
      <c r="D23" s="104">
        <v>960</v>
      </c>
      <c r="E23" s="96">
        <v>1080</v>
      </c>
      <c r="F23" s="97">
        <v>0</v>
      </c>
      <c r="G23" s="95">
        <v>1720</v>
      </c>
      <c r="H23" s="96">
        <v>2600</v>
      </c>
      <c r="I23" s="105">
        <v>0</v>
      </c>
      <c r="J23" s="95">
        <v>1320</v>
      </c>
      <c r="K23" s="96">
        <v>1950</v>
      </c>
      <c r="L23" s="97">
        <v>0</v>
      </c>
      <c r="M23" s="95">
        <v>1248</v>
      </c>
      <c r="N23" s="96">
        <v>1940</v>
      </c>
      <c r="O23" s="97">
        <v>0</v>
      </c>
      <c r="P23" s="95">
        <v>961</v>
      </c>
      <c r="Q23" s="96">
        <v>1261</v>
      </c>
      <c r="R23" s="97">
        <v>0</v>
      </c>
      <c r="S23" s="95">
        <v>490</v>
      </c>
      <c r="T23" s="96">
        <v>650</v>
      </c>
      <c r="U23" s="97">
        <v>0</v>
      </c>
      <c r="V23" s="95">
        <v>810</v>
      </c>
      <c r="W23" s="96">
        <v>1470</v>
      </c>
      <c r="X23" s="97">
        <v>0</v>
      </c>
      <c r="Y23" s="95">
        <v>530</v>
      </c>
      <c r="Z23" s="96">
        <v>780</v>
      </c>
      <c r="AA23" s="100">
        <v>0</v>
      </c>
      <c r="AB23" s="95">
        <v>510</v>
      </c>
      <c r="AC23" s="96">
        <v>820</v>
      </c>
      <c r="AD23" s="97">
        <v>0</v>
      </c>
      <c r="AE23" s="95">
        <v>490</v>
      </c>
      <c r="AF23" s="96">
        <v>1630</v>
      </c>
      <c r="AG23" s="105">
        <v>0</v>
      </c>
      <c r="AH23" s="231">
        <f>+Janvier!AJ23</f>
        <v>768.21428571428578</v>
      </c>
      <c r="AI23" s="231">
        <f>+Janvier!AK23</f>
        <v>2390.0000000000005</v>
      </c>
      <c r="AJ23" s="231">
        <f>+Janvier!AL23</f>
        <v>1792.5000000000002</v>
      </c>
      <c r="AK23" s="231">
        <f>+Janvier!AM23</f>
        <v>1792.5000000000002</v>
      </c>
      <c r="AL23" s="231">
        <f>+Janvier!AN23</f>
        <v>1086.3636363636365</v>
      </c>
      <c r="AM23" s="231">
        <f>+Janvier!AO23</f>
        <v>672.1875</v>
      </c>
      <c r="AN23" s="231">
        <f>+Janvier!AP23</f>
        <v>1344.375</v>
      </c>
      <c r="AO23" s="231">
        <f>+Janvier!AQ23</f>
        <v>672.1875</v>
      </c>
      <c r="AP23" s="231">
        <f>+Janvier!AR23</f>
        <v>672.1875</v>
      </c>
      <c r="AQ23" s="231">
        <f>+Janvier!AS23</f>
        <v>1195.0000000000002</v>
      </c>
      <c r="AR23" s="90">
        <f t="shared" si="39"/>
        <v>7</v>
      </c>
      <c r="AS23" s="90">
        <f t="shared" si="40"/>
        <v>5</v>
      </c>
      <c r="AT23" s="90">
        <f t="shared" si="41"/>
        <v>5</v>
      </c>
      <c r="AU23" s="90">
        <f t="shared" si="42"/>
        <v>5</v>
      </c>
      <c r="AV23" s="90">
        <f t="shared" si="43"/>
        <v>6</v>
      </c>
      <c r="AW23" s="90">
        <f t="shared" si="44"/>
        <v>5</v>
      </c>
      <c r="AX23" s="90">
        <f>ROUND(W23/(AN23/5),0)</f>
        <v>5</v>
      </c>
      <c r="AY23" s="90">
        <f t="shared" si="46"/>
        <v>6</v>
      </c>
      <c r="AZ23" s="90">
        <f t="shared" si="47"/>
        <v>6</v>
      </c>
      <c r="BA23" s="91">
        <f t="shared" si="48"/>
        <v>7</v>
      </c>
    </row>
    <row r="24" spans="1:53" ht="14.25" customHeight="1" x14ac:dyDescent="0.3">
      <c r="A24" s="184" t="s">
        <v>16</v>
      </c>
      <c r="B24" s="94">
        <v>44013</v>
      </c>
      <c r="C24" s="94">
        <v>44035</v>
      </c>
      <c r="D24" s="104">
        <v>2180</v>
      </c>
      <c r="E24" s="96">
        <v>3580</v>
      </c>
      <c r="F24" s="97">
        <v>0</v>
      </c>
      <c r="G24" s="95">
        <v>5780</v>
      </c>
      <c r="H24" s="96">
        <v>10480</v>
      </c>
      <c r="I24" s="105">
        <v>0</v>
      </c>
      <c r="J24" s="95">
        <v>4660</v>
      </c>
      <c r="K24" s="96">
        <v>9120</v>
      </c>
      <c r="L24" s="97">
        <v>0</v>
      </c>
      <c r="M24" s="95">
        <v>4600</v>
      </c>
      <c r="N24" s="96">
        <v>7848</v>
      </c>
      <c r="O24" s="97">
        <v>0</v>
      </c>
      <c r="P24" s="95">
        <v>3000</v>
      </c>
      <c r="Q24" s="96">
        <v>4347</v>
      </c>
      <c r="R24" s="97">
        <v>0</v>
      </c>
      <c r="S24" s="95">
        <v>1480</v>
      </c>
      <c r="T24" s="96">
        <v>3030</v>
      </c>
      <c r="U24" s="97">
        <v>0</v>
      </c>
      <c r="V24" s="95">
        <v>1410</v>
      </c>
      <c r="W24" s="96">
        <v>4890</v>
      </c>
      <c r="X24" s="97">
        <v>0</v>
      </c>
      <c r="Y24" s="95">
        <v>1120</v>
      </c>
      <c r="Z24" s="96">
        <v>2490</v>
      </c>
      <c r="AA24" s="100">
        <v>0</v>
      </c>
      <c r="AB24" s="95">
        <v>1630</v>
      </c>
      <c r="AC24" s="96">
        <v>2740</v>
      </c>
      <c r="AD24" s="97">
        <v>0</v>
      </c>
      <c r="AE24" s="95">
        <v>2660</v>
      </c>
      <c r="AF24" s="96">
        <v>4090</v>
      </c>
      <c r="AG24" s="105">
        <v>0</v>
      </c>
      <c r="AH24" s="231">
        <f>+Janvier!AJ24</f>
        <v>3452.1428571428573</v>
      </c>
      <c r="AI24" s="231">
        <f>+Janvier!AK24</f>
        <v>10740.000000000002</v>
      </c>
      <c r="AJ24" s="231">
        <f>+Janvier!AL24</f>
        <v>8055</v>
      </c>
      <c r="AK24" s="231">
        <f>+Janvier!AM24</f>
        <v>8055</v>
      </c>
      <c r="AL24" s="231">
        <f>+Janvier!AN24</f>
        <v>4881.818181818182</v>
      </c>
      <c r="AM24" s="231">
        <f>+Janvier!AO24</f>
        <v>3020.6250000000005</v>
      </c>
      <c r="AN24" s="231">
        <f>+Janvier!AP24</f>
        <v>6041.2500000000009</v>
      </c>
      <c r="AO24" s="231">
        <f>+Janvier!AQ24</f>
        <v>3020.6250000000005</v>
      </c>
      <c r="AP24" s="231">
        <f>+Janvier!AR24</f>
        <v>3020.6250000000005</v>
      </c>
      <c r="AQ24" s="231">
        <f>+Janvier!AS24</f>
        <v>5370.0000000000009</v>
      </c>
      <c r="AR24" s="90">
        <f t="shared" si="39"/>
        <v>5</v>
      </c>
      <c r="AS24" s="90">
        <f t="shared" si="40"/>
        <v>5</v>
      </c>
      <c r="AT24" s="90">
        <f t="shared" si="41"/>
        <v>6</v>
      </c>
      <c r="AU24" s="90">
        <f t="shared" si="42"/>
        <v>5</v>
      </c>
      <c r="AV24" s="90">
        <f t="shared" si="43"/>
        <v>4</v>
      </c>
      <c r="AW24" s="90">
        <f>ROUND(T24/(AM24/5),0)</f>
        <v>5</v>
      </c>
      <c r="AX24" s="90">
        <f t="shared" ref="AX24:AX29" si="49">ROUND(W24/(AN24/5),0)</f>
        <v>4</v>
      </c>
      <c r="AY24" s="90">
        <f t="shared" si="46"/>
        <v>4</v>
      </c>
      <c r="AZ24" s="90">
        <f t="shared" si="47"/>
        <v>5</v>
      </c>
      <c r="BA24" s="91">
        <f t="shared" si="48"/>
        <v>4</v>
      </c>
    </row>
    <row r="25" spans="1:53" ht="14.25" customHeight="1" x14ac:dyDescent="0.3">
      <c r="A25" s="184" t="s">
        <v>17</v>
      </c>
      <c r="B25" s="94">
        <v>44013</v>
      </c>
      <c r="C25" s="94">
        <v>44035</v>
      </c>
      <c r="D25" s="104">
        <v>0</v>
      </c>
      <c r="E25" s="96">
        <v>1480</v>
      </c>
      <c r="F25" s="97">
        <v>0</v>
      </c>
      <c r="G25" s="95">
        <v>0</v>
      </c>
      <c r="H25" s="96">
        <v>3940</v>
      </c>
      <c r="I25" s="105">
        <v>0</v>
      </c>
      <c r="J25" s="95">
        <v>0</v>
      </c>
      <c r="K25" s="96">
        <v>1780</v>
      </c>
      <c r="L25" s="97">
        <v>0</v>
      </c>
      <c r="M25" s="95">
        <v>0</v>
      </c>
      <c r="N25" s="96">
        <v>2828</v>
      </c>
      <c r="O25" s="97">
        <v>0</v>
      </c>
      <c r="P25" s="95">
        <v>0</v>
      </c>
      <c r="Q25" s="96">
        <v>1642</v>
      </c>
      <c r="R25" s="97">
        <v>0</v>
      </c>
      <c r="S25" s="95">
        <v>0</v>
      </c>
      <c r="T25" s="96">
        <v>750</v>
      </c>
      <c r="U25" s="97">
        <v>0</v>
      </c>
      <c r="V25" s="95">
        <v>0</v>
      </c>
      <c r="W25" s="96">
        <v>3620</v>
      </c>
      <c r="X25" s="97">
        <v>0</v>
      </c>
      <c r="Y25" s="95">
        <v>0</v>
      </c>
      <c r="Z25" s="96">
        <v>1280</v>
      </c>
      <c r="AA25" s="100">
        <v>0</v>
      </c>
      <c r="AB25" s="95">
        <v>0</v>
      </c>
      <c r="AC25" s="96">
        <v>1360</v>
      </c>
      <c r="AD25" s="97">
        <v>0</v>
      </c>
      <c r="AE25" s="95">
        <v>0</v>
      </c>
      <c r="AF25" s="96">
        <v>3070</v>
      </c>
      <c r="AG25" s="105">
        <v>0</v>
      </c>
      <c r="AH25" s="231">
        <f>+Janvier!AJ25</f>
        <v>3638.3241758241757</v>
      </c>
      <c r="AI25" s="231">
        <f>+Janvier!AK25</f>
        <v>11319.23076923077</v>
      </c>
      <c r="AJ25" s="231">
        <f>+Janvier!AL25</f>
        <v>8489.423076923078</v>
      </c>
      <c r="AK25" s="231">
        <f>+Janvier!AM25</f>
        <v>8489.423076923078</v>
      </c>
      <c r="AL25" s="231">
        <f>+Janvier!AN25</f>
        <v>5145.1048951048951</v>
      </c>
      <c r="AM25" s="231">
        <f>+Janvier!AO25</f>
        <v>3183.5336538461534</v>
      </c>
      <c r="AN25" s="231">
        <f>+Janvier!AP25</f>
        <v>6367.0673076923067</v>
      </c>
      <c r="AO25" s="231">
        <f>+Janvier!AQ25</f>
        <v>3183.5336538461534</v>
      </c>
      <c r="AP25" s="231">
        <f>+Janvier!AR25</f>
        <v>3183.5336538461534</v>
      </c>
      <c r="AQ25" s="231">
        <f>+Janvier!AS25</f>
        <v>5659.6153846153848</v>
      </c>
      <c r="AR25" s="90">
        <f t="shared" si="39"/>
        <v>2</v>
      </c>
      <c r="AS25" s="90">
        <f t="shared" si="40"/>
        <v>2</v>
      </c>
      <c r="AT25" s="90">
        <f t="shared" si="41"/>
        <v>1</v>
      </c>
      <c r="AU25" s="90">
        <f t="shared" si="42"/>
        <v>2</v>
      </c>
      <c r="AV25" s="90">
        <f>ROUND(Q25/(AL25/5),0)</f>
        <v>2</v>
      </c>
      <c r="AW25" s="90">
        <f t="shared" si="44"/>
        <v>1</v>
      </c>
      <c r="AX25" s="90">
        <f t="shared" si="49"/>
        <v>3</v>
      </c>
      <c r="AY25" s="90">
        <f t="shared" si="46"/>
        <v>2</v>
      </c>
      <c r="AZ25" s="90">
        <f t="shared" si="47"/>
        <v>2</v>
      </c>
      <c r="BA25" s="91">
        <f t="shared" si="48"/>
        <v>3</v>
      </c>
    </row>
    <row r="26" spans="1:53" ht="14.25" customHeight="1" x14ac:dyDescent="0.3">
      <c r="A26" s="184" t="s">
        <v>18</v>
      </c>
      <c r="B26" s="94">
        <v>44013</v>
      </c>
      <c r="C26" s="94">
        <v>44035</v>
      </c>
      <c r="D26" s="104">
        <v>900</v>
      </c>
      <c r="E26" s="96">
        <v>1040</v>
      </c>
      <c r="F26" s="97">
        <v>0</v>
      </c>
      <c r="G26" s="95">
        <v>1800</v>
      </c>
      <c r="H26" s="96">
        <v>2600</v>
      </c>
      <c r="I26" s="105">
        <v>0</v>
      </c>
      <c r="J26" s="95">
        <v>0</v>
      </c>
      <c r="K26" s="96">
        <v>1940</v>
      </c>
      <c r="L26" s="97">
        <v>0</v>
      </c>
      <c r="M26" s="95">
        <v>1488</v>
      </c>
      <c r="N26" s="96">
        <v>1940</v>
      </c>
      <c r="O26" s="97">
        <v>0</v>
      </c>
      <c r="P26" s="95">
        <v>874</v>
      </c>
      <c r="Q26" s="96">
        <v>1214</v>
      </c>
      <c r="R26" s="97">
        <v>0</v>
      </c>
      <c r="S26" s="95">
        <v>670</v>
      </c>
      <c r="T26" s="96">
        <v>690</v>
      </c>
      <c r="U26" s="97">
        <v>0</v>
      </c>
      <c r="V26" s="95">
        <v>480</v>
      </c>
      <c r="W26" s="96">
        <v>1310</v>
      </c>
      <c r="X26" s="97">
        <v>0</v>
      </c>
      <c r="Y26" s="95">
        <v>470</v>
      </c>
      <c r="Z26" s="96">
        <v>750</v>
      </c>
      <c r="AA26" s="100">
        <v>0</v>
      </c>
      <c r="AB26" s="95">
        <v>460</v>
      </c>
      <c r="AC26" s="96">
        <v>750</v>
      </c>
      <c r="AD26" s="97">
        <v>0</v>
      </c>
      <c r="AE26" s="95">
        <v>710</v>
      </c>
      <c r="AF26" s="96">
        <v>1620</v>
      </c>
      <c r="AG26" s="105">
        <v>0</v>
      </c>
      <c r="AH26" s="231">
        <f>+Janvier!AJ26</f>
        <v>723.70879120879124</v>
      </c>
      <c r="AI26" s="231">
        <f>+Janvier!AK26</f>
        <v>2251.5384615384619</v>
      </c>
      <c r="AJ26" s="231">
        <f>+Janvier!AL26</f>
        <v>1688.6538461538464</v>
      </c>
      <c r="AK26" s="231">
        <f>+Janvier!AM26</f>
        <v>1688.6538461538464</v>
      </c>
      <c r="AL26" s="231">
        <f>+Janvier!AN26</f>
        <v>1023.4265734265737</v>
      </c>
      <c r="AM26" s="231">
        <f>+Janvier!AO26</f>
        <v>633.24519230769238</v>
      </c>
      <c r="AN26" s="231">
        <f>+Janvier!AP26</f>
        <v>1266.4903846153848</v>
      </c>
      <c r="AO26" s="231">
        <f>+Janvier!AQ26</f>
        <v>633.24519230769238</v>
      </c>
      <c r="AP26" s="231">
        <f>+Janvier!AR26</f>
        <v>633.24519230769238</v>
      </c>
      <c r="AQ26" s="231">
        <f>+Janvier!AS26</f>
        <v>1125.7692307692309</v>
      </c>
      <c r="AR26" s="90">
        <f t="shared" si="39"/>
        <v>7</v>
      </c>
      <c r="AS26" s="90">
        <f t="shared" si="40"/>
        <v>6</v>
      </c>
      <c r="AT26" s="90">
        <f t="shared" si="41"/>
        <v>6</v>
      </c>
      <c r="AU26" s="90">
        <f t="shared" si="42"/>
        <v>6</v>
      </c>
      <c r="AV26" s="90">
        <f t="shared" si="43"/>
        <v>6</v>
      </c>
      <c r="AW26" s="90">
        <f t="shared" si="44"/>
        <v>5</v>
      </c>
      <c r="AX26" s="90">
        <f t="shared" si="49"/>
        <v>5</v>
      </c>
      <c r="AY26" s="90">
        <f t="shared" si="46"/>
        <v>6</v>
      </c>
      <c r="AZ26" s="90">
        <f t="shared" si="47"/>
        <v>6</v>
      </c>
      <c r="BA26" s="91">
        <f t="shared" si="48"/>
        <v>7</v>
      </c>
    </row>
    <row r="27" spans="1:53" ht="14.25" customHeight="1" x14ac:dyDescent="0.3">
      <c r="A27" s="184" t="s">
        <v>19</v>
      </c>
      <c r="B27" s="94">
        <v>44013</v>
      </c>
      <c r="C27" s="94">
        <v>44035</v>
      </c>
      <c r="D27" s="104">
        <v>1640</v>
      </c>
      <c r="E27" s="96">
        <v>1940</v>
      </c>
      <c r="F27" s="97">
        <v>0</v>
      </c>
      <c r="G27" s="95">
        <v>3540</v>
      </c>
      <c r="H27" s="96">
        <v>6240</v>
      </c>
      <c r="I27" s="105">
        <v>0</v>
      </c>
      <c r="J27" s="95">
        <v>3420</v>
      </c>
      <c r="K27" s="96">
        <v>4670</v>
      </c>
      <c r="L27" s="97">
        <v>0</v>
      </c>
      <c r="M27" s="95">
        <v>3316</v>
      </c>
      <c r="N27" s="96">
        <v>4668</v>
      </c>
      <c r="O27" s="97">
        <v>0</v>
      </c>
      <c r="P27" s="95">
        <v>2096</v>
      </c>
      <c r="Q27" s="96">
        <v>2986</v>
      </c>
      <c r="R27" s="97">
        <v>0</v>
      </c>
      <c r="S27" s="95">
        <v>1175</v>
      </c>
      <c r="T27" s="96">
        <v>1575</v>
      </c>
      <c r="U27" s="97">
        <v>0</v>
      </c>
      <c r="V27" s="95">
        <v>2050</v>
      </c>
      <c r="W27" s="96">
        <v>3700</v>
      </c>
      <c r="X27" s="97">
        <v>0</v>
      </c>
      <c r="Y27" s="95">
        <v>1240</v>
      </c>
      <c r="Z27" s="96">
        <v>1850</v>
      </c>
      <c r="AA27" s="100">
        <v>0</v>
      </c>
      <c r="AB27" s="95">
        <v>1280</v>
      </c>
      <c r="AC27" s="96">
        <v>1850</v>
      </c>
      <c r="AD27" s="97">
        <v>0</v>
      </c>
      <c r="AE27" s="95">
        <v>2310</v>
      </c>
      <c r="AF27" s="96">
        <v>3890</v>
      </c>
      <c r="AG27" s="105">
        <v>0</v>
      </c>
      <c r="AH27" s="231">
        <f>+Janvier!AJ27</f>
        <v>1833.75</v>
      </c>
      <c r="AI27" s="231">
        <f>+Janvier!AK27</f>
        <v>5705.0000000000009</v>
      </c>
      <c r="AJ27" s="231">
        <f>+Janvier!AL27</f>
        <v>4278.7500000000009</v>
      </c>
      <c r="AK27" s="231">
        <f>+Janvier!AM27</f>
        <v>4278.7500000000009</v>
      </c>
      <c r="AL27" s="231">
        <f>+Janvier!AN27</f>
        <v>2593.1818181818189</v>
      </c>
      <c r="AM27" s="231">
        <f>+Janvier!AO27</f>
        <v>1604.53125</v>
      </c>
      <c r="AN27" s="231">
        <f>+Janvier!AP27</f>
        <v>3209.0625</v>
      </c>
      <c r="AO27" s="231">
        <f>+Janvier!AQ27</f>
        <v>1604.53125</v>
      </c>
      <c r="AP27" s="231">
        <f>+Janvier!AR27</f>
        <v>1604.53125</v>
      </c>
      <c r="AQ27" s="231">
        <f>+Janvier!AS27</f>
        <v>2852.5000000000005</v>
      </c>
      <c r="AR27" s="90">
        <f t="shared" si="39"/>
        <v>5</v>
      </c>
      <c r="AS27" s="90">
        <f t="shared" si="40"/>
        <v>5</v>
      </c>
      <c r="AT27" s="90">
        <f t="shared" si="41"/>
        <v>5</v>
      </c>
      <c r="AU27" s="90">
        <f t="shared" si="42"/>
        <v>5</v>
      </c>
      <c r="AV27" s="90">
        <f t="shared" si="43"/>
        <v>6</v>
      </c>
      <c r="AW27" s="90">
        <f t="shared" si="44"/>
        <v>5</v>
      </c>
      <c r="AX27" s="90">
        <f t="shared" si="49"/>
        <v>6</v>
      </c>
      <c r="AY27" s="90">
        <f t="shared" si="46"/>
        <v>6</v>
      </c>
      <c r="AZ27" s="90">
        <f t="shared" si="47"/>
        <v>6</v>
      </c>
      <c r="BA27" s="91">
        <f t="shared" si="48"/>
        <v>7</v>
      </c>
    </row>
    <row r="28" spans="1:53" ht="14.25" customHeight="1" x14ac:dyDescent="0.3">
      <c r="A28" s="184" t="s">
        <v>20</v>
      </c>
      <c r="B28" s="94">
        <v>44013</v>
      </c>
      <c r="C28" s="94">
        <v>44035</v>
      </c>
      <c r="D28" s="104">
        <v>1280</v>
      </c>
      <c r="E28" s="96">
        <v>1660</v>
      </c>
      <c r="F28" s="97">
        <v>0</v>
      </c>
      <c r="G28" s="95">
        <v>0</v>
      </c>
      <c r="H28" s="96">
        <v>2740</v>
      </c>
      <c r="I28" s="105">
        <v>0</v>
      </c>
      <c r="J28" s="95">
        <v>470</v>
      </c>
      <c r="K28" s="96">
        <v>3130</v>
      </c>
      <c r="L28" s="97">
        <v>0</v>
      </c>
      <c r="M28" s="95">
        <v>1720</v>
      </c>
      <c r="N28" s="96">
        <v>3132</v>
      </c>
      <c r="O28" s="97">
        <v>0</v>
      </c>
      <c r="P28" s="95">
        <v>1670</v>
      </c>
      <c r="Q28" s="96">
        <v>2012</v>
      </c>
      <c r="R28" s="97">
        <v>0</v>
      </c>
      <c r="S28" s="95">
        <v>565</v>
      </c>
      <c r="T28" s="96">
        <v>1050</v>
      </c>
      <c r="U28" s="97">
        <v>0</v>
      </c>
      <c r="V28" s="95">
        <v>0</v>
      </c>
      <c r="W28" s="96">
        <v>2740</v>
      </c>
      <c r="X28" s="97">
        <v>0</v>
      </c>
      <c r="Y28" s="95">
        <v>200</v>
      </c>
      <c r="Z28" s="96">
        <v>1250</v>
      </c>
      <c r="AA28" s="100">
        <v>0</v>
      </c>
      <c r="AB28" s="95">
        <v>250</v>
      </c>
      <c r="AC28" s="96">
        <v>1250</v>
      </c>
      <c r="AD28" s="97">
        <v>0</v>
      </c>
      <c r="AE28" s="95">
        <v>0</v>
      </c>
      <c r="AF28" s="96">
        <v>3130</v>
      </c>
      <c r="AG28" s="105">
        <v>0</v>
      </c>
      <c r="AH28" s="231">
        <f>+Janvier!AJ28</f>
        <v>1230.2060439560439</v>
      </c>
      <c r="AI28" s="231">
        <f>+Janvier!AK28</f>
        <v>3827.3076923076924</v>
      </c>
      <c r="AJ28" s="231">
        <f>+Janvier!AL28</f>
        <v>2870.4807692307691</v>
      </c>
      <c r="AK28" s="231">
        <f>+Janvier!AM28</f>
        <v>2870.4807692307691</v>
      </c>
      <c r="AL28" s="231">
        <f>+Janvier!AN28</f>
        <v>1739.6853146853146</v>
      </c>
      <c r="AM28" s="231">
        <f>+Janvier!AO28</f>
        <v>1076.4302884615383</v>
      </c>
      <c r="AN28" s="231">
        <f>+Janvier!AP28</f>
        <v>2152.8605769230767</v>
      </c>
      <c r="AO28" s="231">
        <f>+Janvier!AQ28</f>
        <v>1076.4302884615383</v>
      </c>
      <c r="AP28" s="231">
        <f>+Janvier!AR28</f>
        <v>1076.4302884615383</v>
      </c>
      <c r="AQ28" s="231">
        <f>+Janvier!AS28</f>
        <v>1913.6538461538462</v>
      </c>
      <c r="AR28" s="90">
        <f t="shared" si="39"/>
        <v>7</v>
      </c>
      <c r="AS28" s="90">
        <f t="shared" si="40"/>
        <v>4</v>
      </c>
      <c r="AT28" s="90">
        <f t="shared" si="41"/>
        <v>5</v>
      </c>
      <c r="AU28" s="90">
        <f t="shared" si="42"/>
        <v>5</v>
      </c>
      <c r="AV28" s="90">
        <f t="shared" si="43"/>
        <v>6</v>
      </c>
      <c r="AW28" s="90">
        <f t="shared" si="44"/>
        <v>5</v>
      </c>
      <c r="AX28" s="90">
        <f t="shared" si="49"/>
        <v>6</v>
      </c>
      <c r="AY28" s="90">
        <f t="shared" si="46"/>
        <v>6</v>
      </c>
      <c r="AZ28" s="90">
        <f t="shared" si="47"/>
        <v>6</v>
      </c>
      <c r="BA28" s="91">
        <f t="shared" si="48"/>
        <v>8</v>
      </c>
    </row>
    <row r="29" spans="1:53" ht="15" thickBot="1" x14ac:dyDescent="0.35">
      <c r="A29" s="121" t="s">
        <v>79</v>
      </c>
      <c r="B29" s="143">
        <v>44013</v>
      </c>
      <c r="C29" s="143">
        <v>44035</v>
      </c>
      <c r="D29" s="161">
        <v>1240</v>
      </c>
      <c r="E29" s="109">
        <v>2020</v>
      </c>
      <c r="F29" s="110">
        <v>0</v>
      </c>
      <c r="G29" s="111">
        <v>1280</v>
      </c>
      <c r="H29" s="109">
        <v>3180</v>
      </c>
      <c r="I29" s="112">
        <v>0</v>
      </c>
      <c r="J29" s="111">
        <v>2780</v>
      </c>
      <c r="K29" s="109">
        <v>2730</v>
      </c>
      <c r="L29" s="110">
        <v>0</v>
      </c>
      <c r="M29" s="111">
        <v>1192</v>
      </c>
      <c r="N29" s="109">
        <v>5266</v>
      </c>
      <c r="O29" s="110">
        <v>0</v>
      </c>
      <c r="P29" s="111">
        <v>1224</v>
      </c>
      <c r="Q29" s="109">
        <v>3311</v>
      </c>
      <c r="R29" s="110">
        <v>0</v>
      </c>
      <c r="S29" s="111">
        <v>980</v>
      </c>
      <c r="T29" s="109">
        <v>1580</v>
      </c>
      <c r="U29" s="110">
        <v>0</v>
      </c>
      <c r="V29" s="111">
        <v>1420</v>
      </c>
      <c r="W29" s="109">
        <v>2580</v>
      </c>
      <c r="X29" s="110">
        <v>0</v>
      </c>
      <c r="Y29" s="111">
        <v>660</v>
      </c>
      <c r="Z29" s="109">
        <v>2010</v>
      </c>
      <c r="AA29" s="162">
        <v>0</v>
      </c>
      <c r="AB29" s="111">
        <v>960</v>
      </c>
      <c r="AC29" s="109">
        <v>3170</v>
      </c>
      <c r="AD29" s="110">
        <v>0</v>
      </c>
      <c r="AE29" s="111">
        <v>0</v>
      </c>
      <c r="AF29" s="109">
        <v>3540</v>
      </c>
      <c r="AG29" s="112">
        <v>0</v>
      </c>
      <c r="AH29" s="231">
        <f>+Janvier!AJ29</f>
        <v>1892.3489010989013</v>
      </c>
      <c r="AI29" s="231">
        <f>+Janvier!AK29</f>
        <v>5887.3076923076933</v>
      </c>
      <c r="AJ29" s="231">
        <f>+Janvier!AL29</f>
        <v>4415.4807692307704</v>
      </c>
      <c r="AK29" s="231">
        <f>+Janvier!AM29</f>
        <v>4415.4807692307704</v>
      </c>
      <c r="AL29" s="231">
        <f>+Janvier!AN29</f>
        <v>2676.0489510489515</v>
      </c>
      <c r="AM29" s="231">
        <f>+Janvier!AO29</f>
        <v>1655.8052884615383</v>
      </c>
      <c r="AN29" s="231">
        <f>+Janvier!AP29</f>
        <v>3311.6105769230767</v>
      </c>
      <c r="AO29" s="231">
        <f>+Janvier!AQ29</f>
        <v>1655.8052884615383</v>
      </c>
      <c r="AP29" s="231">
        <f>+Janvier!AR29</f>
        <v>1655.8052884615383</v>
      </c>
      <c r="AQ29" s="231">
        <f>+Janvier!AS29</f>
        <v>2943.6538461538466</v>
      </c>
      <c r="AR29" s="92">
        <f t="shared" si="39"/>
        <v>5</v>
      </c>
      <c r="AS29" s="92">
        <f t="shared" si="40"/>
        <v>3</v>
      </c>
      <c r="AT29" s="92">
        <f t="shared" si="41"/>
        <v>3</v>
      </c>
      <c r="AU29" s="92">
        <f t="shared" si="42"/>
        <v>6</v>
      </c>
      <c r="AV29" s="92">
        <f t="shared" si="43"/>
        <v>6</v>
      </c>
      <c r="AW29" s="92">
        <f t="shared" si="44"/>
        <v>5</v>
      </c>
      <c r="AX29" s="92">
        <f t="shared" si="49"/>
        <v>4</v>
      </c>
      <c r="AY29" s="92">
        <f t="shared" si="46"/>
        <v>6</v>
      </c>
      <c r="AZ29" s="92">
        <f t="shared" si="47"/>
        <v>10</v>
      </c>
      <c r="BA29" s="93">
        <f t="shared" si="48"/>
        <v>6</v>
      </c>
    </row>
    <row r="30" spans="1:53" ht="15" thickBot="1" x14ac:dyDescent="0.35">
      <c r="A30" s="140" t="s">
        <v>84</v>
      </c>
      <c r="B30" s="160">
        <v>44013</v>
      </c>
      <c r="C30" s="160">
        <v>44042</v>
      </c>
      <c r="D30" s="163">
        <v>0</v>
      </c>
      <c r="E30" s="163">
        <v>24100</v>
      </c>
      <c r="F30" s="124">
        <v>0</v>
      </c>
      <c r="G30" s="254">
        <v>0</v>
      </c>
      <c r="H30" s="163">
        <v>73540</v>
      </c>
      <c r="I30" s="124">
        <v>0</v>
      </c>
      <c r="J30" s="253">
        <v>0</v>
      </c>
      <c r="K30" s="163">
        <v>71860</v>
      </c>
      <c r="L30" s="124">
        <v>0</v>
      </c>
      <c r="M30" s="163">
        <v>0</v>
      </c>
      <c r="N30" s="163">
        <v>60400</v>
      </c>
      <c r="O30" s="124">
        <v>0</v>
      </c>
      <c r="P30" s="163">
        <v>0</v>
      </c>
      <c r="Q30" s="163">
        <v>37700</v>
      </c>
      <c r="R30" s="124">
        <v>0</v>
      </c>
      <c r="S30" s="163">
        <v>0</v>
      </c>
      <c r="T30" s="163">
        <v>26750</v>
      </c>
      <c r="U30" s="124">
        <v>0</v>
      </c>
      <c r="V30" s="163">
        <v>0</v>
      </c>
      <c r="W30" s="163">
        <v>44390</v>
      </c>
      <c r="X30" s="124">
        <v>0</v>
      </c>
      <c r="Y30" s="163">
        <v>0</v>
      </c>
      <c r="Z30" s="163">
        <v>22600</v>
      </c>
      <c r="AA30" s="115">
        <v>0</v>
      </c>
      <c r="AB30" s="163">
        <v>0</v>
      </c>
      <c r="AC30" s="163">
        <v>12300</v>
      </c>
      <c r="AD30" s="124">
        <v>0</v>
      </c>
      <c r="AE30" s="163">
        <v>0</v>
      </c>
      <c r="AF30" s="163">
        <v>37600</v>
      </c>
      <c r="AG30" s="126">
        <v>0</v>
      </c>
      <c r="AH30" s="231">
        <f>+Janvier!AJ30</f>
        <v>84811.691250000003</v>
      </c>
      <c r="AI30" s="231">
        <f>+Janvier!AK30</f>
        <v>294602.45192307694</v>
      </c>
      <c r="AJ30" s="231">
        <f>+Janvier!AL30</f>
        <v>196205.23298076927</v>
      </c>
      <c r="AK30" s="231">
        <f>+Janvier!AM30</f>
        <v>196205.23298076927</v>
      </c>
      <c r="AL30" s="231">
        <f>+Janvier!AN30</f>
        <v>123733.02980769234</v>
      </c>
      <c r="AM30" s="231">
        <f>+Janvier!AO30</f>
        <v>73650.612980769234</v>
      </c>
      <c r="AN30" s="231">
        <f>+Janvier!AP30</f>
        <v>147301.22596153847</v>
      </c>
      <c r="AO30" s="231">
        <f>+Janvier!AQ30</f>
        <v>73650.612980769234</v>
      </c>
      <c r="AP30" s="231">
        <f>+Janvier!AR30</f>
        <v>73650.612980769234</v>
      </c>
      <c r="AQ30" s="231">
        <f>+Janvier!AS30</f>
        <v>131665.70250000001</v>
      </c>
      <c r="AR30" s="90">
        <f>ROUND(E30/(AH30/15),0)</f>
        <v>4</v>
      </c>
      <c r="AS30" s="90">
        <f t="shared" ref="AS30" si="50">ROUND(H30/(AI30/15),0)</f>
        <v>4</v>
      </c>
      <c r="AT30" s="90">
        <f t="shared" ref="AT30" si="51">ROUND(K30/(AJ30/15),0)</f>
        <v>5</v>
      </c>
      <c r="AU30" s="90">
        <f t="shared" ref="AU30" si="52">ROUND(N30/(AK30/15),0)</f>
        <v>5</v>
      </c>
      <c r="AV30" s="90">
        <f t="shared" ref="AV30" si="53">ROUND(Q30/(AL30/15),0)</f>
        <v>5</v>
      </c>
      <c r="AW30" s="90">
        <f t="shared" ref="AW30" si="54">ROUND(T30/(AM30/15),0)</f>
        <v>5</v>
      </c>
      <c r="AX30" s="90">
        <f t="shared" ref="AX30" si="55">ROUND(W30/(AN30/15),0)</f>
        <v>5</v>
      </c>
      <c r="AY30" s="90">
        <f t="shared" ref="AY30" si="56">ROUND(Z30/(AO30/15),0)</f>
        <v>5</v>
      </c>
      <c r="AZ30" s="90">
        <f t="shared" ref="AZ30" si="57">ROUND(AC30/(AP30/15),0)</f>
        <v>3</v>
      </c>
      <c r="BA30" s="91">
        <f t="shared" ref="BA30" si="58">ROUND(AF30/(AQ30/15),0)</f>
        <v>4</v>
      </c>
    </row>
    <row r="31" spans="1:53" ht="15" thickBot="1" x14ac:dyDescent="0.35">
      <c r="A31" s="184" t="s">
        <v>35</v>
      </c>
      <c r="B31" s="160">
        <v>44013</v>
      </c>
      <c r="C31" s="94">
        <v>44042</v>
      </c>
      <c r="D31" s="106">
        <v>2000</v>
      </c>
      <c r="E31" s="106">
        <v>20</v>
      </c>
      <c r="F31" s="97">
        <v>0</v>
      </c>
      <c r="G31" s="116">
        <v>6560</v>
      </c>
      <c r="H31" s="106">
        <v>1640</v>
      </c>
      <c r="I31" s="97">
        <v>0</v>
      </c>
      <c r="J31" s="236">
        <v>4790</v>
      </c>
      <c r="K31" s="106">
        <v>1100</v>
      </c>
      <c r="L31" s="97">
        <v>0</v>
      </c>
      <c r="M31" s="106">
        <v>4868</v>
      </c>
      <c r="N31" s="106">
        <v>1232</v>
      </c>
      <c r="O31" s="97">
        <v>0</v>
      </c>
      <c r="P31" s="106">
        <v>3065</v>
      </c>
      <c r="Q31" s="106">
        <v>400</v>
      </c>
      <c r="R31" s="97">
        <v>0</v>
      </c>
      <c r="S31" s="106">
        <v>1660</v>
      </c>
      <c r="T31" s="106">
        <v>600</v>
      </c>
      <c r="U31" s="97">
        <v>0</v>
      </c>
      <c r="V31" s="106">
        <v>3740</v>
      </c>
      <c r="W31" s="106">
        <v>810</v>
      </c>
      <c r="X31" s="97">
        <v>0</v>
      </c>
      <c r="Y31" s="106">
        <v>2000</v>
      </c>
      <c r="Z31" s="106">
        <v>40</v>
      </c>
      <c r="AA31" s="100">
        <v>0</v>
      </c>
      <c r="AB31" s="106">
        <v>2010</v>
      </c>
      <c r="AC31" s="106">
        <v>190</v>
      </c>
      <c r="AD31" s="97">
        <v>0</v>
      </c>
      <c r="AE31" s="106">
        <v>3270</v>
      </c>
      <c r="AF31" s="106">
        <v>710</v>
      </c>
      <c r="AG31" s="105">
        <v>0</v>
      </c>
      <c r="AH31" s="231">
        <f>+Janvier!AJ31</f>
        <v>2028.8324175824175</v>
      </c>
      <c r="AI31" s="231">
        <f>+Janvier!AK31</f>
        <v>6311.9230769230771</v>
      </c>
      <c r="AJ31" s="231">
        <f>+Janvier!AL31</f>
        <v>4733.9423076923076</v>
      </c>
      <c r="AK31" s="231">
        <f>+Janvier!AM31</f>
        <v>4733.9423076923076</v>
      </c>
      <c r="AL31" s="231">
        <f>+Janvier!AN31</f>
        <v>2869.0559440559441</v>
      </c>
      <c r="AM31" s="231">
        <f>+Janvier!AO31</f>
        <v>1775.2283653846155</v>
      </c>
      <c r="AN31" s="231">
        <f>+Janvier!AP31</f>
        <v>3550.4567307692309</v>
      </c>
      <c r="AO31" s="231">
        <f>+Janvier!AQ31</f>
        <v>1775.2283653846155</v>
      </c>
      <c r="AP31" s="231">
        <f>+Janvier!AR31</f>
        <v>1775.2283653846155</v>
      </c>
      <c r="AQ31" s="231">
        <f>+Janvier!AS31</f>
        <v>3155.9615384615386</v>
      </c>
      <c r="AR31" s="16">
        <f t="shared" ref="AR31:AR39" si="59">ROUND(E31/(AH31/5),0)</f>
        <v>0</v>
      </c>
      <c r="AS31" s="16">
        <f t="shared" ref="AS31:AS39" si="60">ROUND(H31/(AI31/5),0)</f>
        <v>1</v>
      </c>
      <c r="AT31" s="16">
        <f t="shared" ref="AT31:AT39" si="61">ROUND(K31/(AJ31/5),0)</f>
        <v>1</v>
      </c>
      <c r="AU31" s="16">
        <f t="shared" ref="AU31:AU39" si="62">ROUND(N31/(AK31/5),0)</f>
        <v>1</v>
      </c>
      <c r="AV31" s="16">
        <f t="shared" ref="AV31:AV39" si="63">ROUND(Q31/(AL31/5),0)</f>
        <v>1</v>
      </c>
      <c r="AW31" s="16">
        <f t="shared" ref="AW31:AW39" si="64">ROUND(T31/(AM31/5),0)</f>
        <v>2</v>
      </c>
      <c r="AX31" s="16">
        <f t="shared" ref="AX31:AX39" si="65">ROUND(W31/(AN31/5),0)</f>
        <v>1</v>
      </c>
      <c r="AY31" s="16">
        <f t="shared" ref="AY31:AY39" si="66">ROUND(Z31/(AO31/5),0)</f>
        <v>0</v>
      </c>
      <c r="AZ31" s="16">
        <f t="shared" ref="AZ31:AZ39" si="67">ROUND(AC31/(AP31/5),0)</f>
        <v>1</v>
      </c>
      <c r="BA31" s="17">
        <f t="shared" ref="BA31:BA39" si="68">ROUND(AF31/(AQ31/5),0)</f>
        <v>1</v>
      </c>
    </row>
    <row r="32" spans="1:53" ht="15" thickBot="1" x14ac:dyDescent="0.35">
      <c r="A32" s="184" t="s">
        <v>36</v>
      </c>
      <c r="B32" s="160">
        <v>44013</v>
      </c>
      <c r="C32" s="94">
        <v>44042</v>
      </c>
      <c r="D32" s="106">
        <v>1420</v>
      </c>
      <c r="E32" s="96">
        <v>420</v>
      </c>
      <c r="F32" s="97">
        <v>0</v>
      </c>
      <c r="G32" s="116">
        <v>2500</v>
      </c>
      <c r="H32" s="96">
        <v>1380</v>
      </c>
      <c r="I32" s="97">
        <v>0</v>
      </c>
      <c r="J32" s="236">
        <v>2100</v>
      </c>
      <c r="K32" s="96">
        <v>1000</v>
      </c>
      <c r="L32" s="97">
        <v>0</v>
      </c>
      <c r="M32" s="106">
        <v>2000</v>
      </c>
      <c r="N32" s="96">
        <v>1004</v>
      </c>
      <c r="O32" s="97">
        <v>0</v>
      </c>
      <c r="P32" s="106">
        <v>900</v>
      </c>
      <c r="Q32" s="96">
        <v>600</v>
      </c>
      <c r="R32" s="97">
        <v>0</v>
      </c>
      <c r="S32" s="106">
        <v>750</v>
      </c>
      <c r="T32" s="96">
        <v>350</v>
      </c>
      <c r="U32" s="97">
        <v>0</v>
      </c>
      <c r="V32" s="106">
        <v>2000</v>
      </c>
      <c r="W32" s="96">
        <v>630</v>
      </c>
      <c r="X32" s="97">
        <v>0</v>
      </c>
      <c r="Y32" s="106">
        <v>1100</v>
      </c>
      <c r="Z32" s="96">
        <v>360</v>
      </c>
      <c r="AA32" s="100">
        <v>0</v>
      </c>
      <c r="AB32" s="106">
        <v>1100</v>
      </c>
      <c r="AC32" s="96">
        <v>350</v>
      </c>
      <c r="AD32" s="97">
        <v>0</v>
      </c>
      <c r="AE32" s="106">
        <v>700</v>
      </c>
      <c r="AF32" s="96">
        <v>600</v>
      </c>
      <c r="AG32" s="105">
        <v>0</v>
      </c>
      <c r="AH32" s="231">
        <f>+Janvier!AJ32</f>
        <v>431.0851648351649</v>
      </c>
      <c r="AI32" s="231">
        <f>+Janvier!AK32</f>
        <v>1341.1538461538464</v>
      </c>
      <c r="AJ32" s="231">
        <f>+Janvier!AL32</f>
        <v>1005.8653846153848</v>
      </c>
      <c r="AK32" s="231">
        <f>+Janvier!AM32</f>
        <v>1005.8653846153848</v>
      </c>
      <c r="AL32" s="231">
        <f>+Janvier!AN32</f>
        <v>609.61538461538464</v>
      </c>
      <c r="AM32" s="231">
        <f>+Janvier!AO32</f>
        <v>377.19951923076917</v>
      </c>
      <c r="AN32" s="231">
        <f>+Janvier!AP32</f>
        <v>754.39903846153834</v>
      </c>
      <c r="AO32" s="231">
        <f>+Janvier!AQ32</f>
        <v>377.19951923076917</v>
      </c>
      <c r="AP32" s="231">
        <f>+Janvier!AR32</f>
        <v>377.19951923076917</v>
      </c>
      <c r="AQ32" s="231">
        <f>+Janvier!AS32</f>
        <v>670.57692307692321</v>
      </c>
      <c r="AR32" s="16">
        <f t="shared" si="59"/>
        <v>5</v>
      </c>
      <c r="AS32" s="16">
        <f t="shared" si="60"/>
        <v>5</v>
      </c>
      <c r="AT32" s="16">
        <f t="shared" si="61"/>
        <v>5</v>
      </c>
      <c r="AU32" s="16">
        <f t="shared" si="62"/>
        <v>5</v>
      </c>
      <c r="AV32" s="16">
        <f t="shared" si="63"/>
        <v>5</v>
      </c>
      <c r="AW32" s="16">
        <f t="shared" si="64"/>
        <v>5</v>
      </c>
      <c r="AX32" s="16">
        <f t="shared" si="65"/>
        <v>4</v>
      </c>
      <c r="AY32" s="16">
        <f t="shared" si="66"/>
        <v>5</v>
      </c>
      <c r="AZ32" s="16">
        <f t="shared" si="67"/>
        <v>5</v>
      </c>
      <c r="BA32" s="17">
        <f t="shared" si="68"/>
        <v>4</v>
      </c>
    </row>
    <row r="33" spans="1:53" ht="15" thickBot="1" x14ac:dyDescent="0.35">
      <c r="A33" s="184" t="s">
        <v>37</v>
      </c>
      <c r="B33" s="160">
        <v>44013</v>
      </c>
      <c r="C33" s="94">
        <v>44042</v>
      </c>
      <c r="D33" s="106">
        <v>6000</v>
      </c>
      <c r="E33" s="106">
        <v>3440</v>
      </c>
      <c r="F33" s="97">
        <v>0</v>
      </c>
      <c r="G33" s="116">
        <v>16000</v>
      </c>
      <c r="H33" s="106">
        <v>9740</v>
      </c>
      <c r="I33" s="97">
        <v>0</v>
      </c>
      <c r="J33" s="236">
        <v>10000</v>
      </c>
      <c r="K33" s="106">
        <v>6800</v>
      </c>
      <c r="L33" s="97">
        <v>0</v>
      </c>
      <c r="M33" s="106">
        <v>11000</v>
      </c>
      <c r="N33" s="106">
        <v>7440</v>
      </c>
      <c r="O33" s="97">
        <v>0</v>
      </c>
      <c r="P33" s="106">
        <v>7200</v>
      </c>
      <c r="Q33" s="106">
        <v>4742</v>
      </c>
      <c r="R33" s="97">
        <v>0</v>
      </c>
      <c r="S33" s="106">
        <v>3000</v>
      </c>
      <c r="T33" s="106">
        <v>2400</v>
      </c>
      <c r="U33" s="97">
        <v>0</v>
      </c>
      <c r="V33" s="106">
        <v>9500</v>
      </c>
      <c r="W33" s="106">
        <v>6180</v>
      </c>
      <c r="X33" s="97">
        <v>0</v>
      </c>
      <c r="Y33" s="106">
        <v>4800</v>
      </c>
      <c r="Z33" s="106">
        <v>2460</v>
      </c>
      <c r="AA33" s="100">
        <v>0</v>
      </c>
      <c r="AB33" s="106">
        <v>4800</v>
      </c>
      <c r="AC33" s="106">
        <v>2520</v>
      </c>
      <c r="AD33" s="97">
        <v>0</v>
      </c>
      <c r="AE33" s="106">
        <v>8300</v>
      </c>
      <c r="AF33" s="106">
        <v>5470</v>
      </c>
      <c r="AG33" s="105">
        <v>0</v>
      </c>
      <c r="AH33" s="231">
        <f>+Janvier!AJ33</f>
        <v>5199.2307692307695</v>
      </c>
      <c r="AI33" s="231">
        <f>+Janvier!AK33</f>
        <v>16175.384615384613</v>
      </c>
      <c r="AJ33" s="231">
        <f>+Janvier!AL33</f>
        <v>12131.538461538461</v>
      </c>
      <c r="AK33" s="231">
        <f>+Janvier!AM33</f>
        <v>12131.538461538461</v>
      </c>
      <c r="AL33" s="231">
        <f>+Janvier!AN33</f>
        <v>7352.4475524475547</v>
      </c>
      <c r="AM33" s="231">
        <f>+Janvier!AO33</f>
        <v>4549.3269230769229</v>
      </c>
      <c r="AN33" s="231">
        <f>+Janvier!AP33</f>
        <v>9098.6538461538457</v>
      </c>
      <c r="AO33" s="231">
        <f>+Janvier!AQ33</f>
        <v>4549.3269230769229</v>
      </c>
      <c r="AP33" s="231">
        <f>+Janvier!AR33</f>
        <v>4549.3269230769229</v>
      </c>
      <c r="AQ33" s="231">
        <f>+Janvier!AS33</f>
        <v>8087.6923076923067</v>
      </c>
      <c r="AR33" s="16">
        <f t="shared" si="59"/>
        <v>3</v>
      </c>
      <c r="AS33" s="16">
        <f t="shared" si="60"/>
        <v>3</v>
      </c>
      <c r="AT33" s="16">
        <f t="shared" si="61"/>
        <v>3</v>
      </c>
      <c r="AU33" s="16">
        <f t="shared" si="62"/>
        <v>3</v>
      </c>
      <c r="AV33" s="16">
        <f t="shared" si="63"/>
        <v>3</v>
      </c>
      <c r="AW33" s="16">
        <f t="shared" si="64"/>
        <v>3</v>
      </c>
      <c r="AX33" s="16">
        <f t="shared" si="65"/>
        <v>3</v>
      </c>
      <c r="AY33" s="16">
        <f t="shared" si="66"/>
        <v>3</v>
      </c>
      <c r="AZ33" s="16">
        <f t="shared" si="67"/>
        <v>3</v>
      </c>
      <c r="BA33" s="17">
        <f t="shared" si="68"/>
        <v>3</v>
      </c>
    </row>
    <row r="34" spans="1:53" ht="15" thickBot="1" x14ac:dyDescent="0.35">
      <c r="A34" s="184" t="s">
        <v>38</v>
      </c>
      <c r="B34" s="160">
        <v>44013</v>
      </c>
      <c r="C34" s="94">
        <v>44042</v>
      </c>
      <c r="D34" s="106">
        <v>1080</v>
      </c>
      <c r="E34" s="106">
        <v>1000</v>
      </c>
      <c r="F34" s="97">
        <v>0</v>
      </c>
      <c r="G34" s="116">
        <v>3460</v>
      </c>
      <c r="H34" s="106">
        <v>3460</v>
      </c>
      <c r="I34" s="97">
        <v>0</v>
      </c>
      <c r="J34" s="236">
        <v>2610</v>
      </c>
      <c r="K34" s="106">
        <v>2610</v>
      </c>
      <c r="L34" s="97">
        <v>0</v>
      </c>
      <c r="M34" s="106">
        <v>2612</v>
      </c>
      <c r="N34" s="106">
        <v>2612</v>
      </c>
      <c r="O34" s="97">
        <v>0</v>
      </c>
      <c r="P34" s="106">
        <v>1800</v>
      </c>
      <c r="Q34" s="106">
        <v>2050</v>
      </c>
      <c r="R34" s="97">
        <v>0</v>
      </c>
      <c r="S34" s="106">
        <v>1010</v>
      </c>
      <c r="T34" s="106">
        <v>1010</v>
      </c>
      <c r="U34" s="97">
        <v>0</v>
      </c>
      <c r="V34" s="106">
        <v>2010</v>
      </c>
      <c r="W34" s="106">
        <v>2010</v>
      </c>
      <c r="X34" s="97">
        <v>0</v>
      </c>
      <c r="Y34" s="106">
        <v>900</v>
      </c>
      <c r="Z34" s="106">
        <v>840</v>
      </c>
      <c r="AA34" s="100">
        <v>0</v>
      </c>
      <c r="AB34" s="106">
        <v>900</v>
      </c>
      <c r="AC34" s="106">
        <v>900</v>
      </c>
      <c r="AD34" s="97">
        <v>0</v>
      </c>
      <c r="AE34" s="106">
        <v>1870</v>
      </c>
      <c r="AF34" s="106">
        <v>1870</v>
      </c>
      <c r="AG34" s="105">
        <v>0</v>
      </c>
      <c r="AH34" s="231">
        <f>+Janvier!AJ34</f>
        <v>1323.9148351648353</v>
      </c>
      <c r="AI34" s="231">
        <f>+Janvier!AK34</f>
        <v>4118.8461538461534</v>
      </c>
      <c r="AJ34" s="231">
        <f>+Janvier!AL34</f>
        <v>3089.1346153846152</v>
      </c>
      <c r="AK34" s="231">
        <f>+Janvier!AM34</f>
        <v>3089.1346153846152</v>
      </c>
      <c r="AL34" s="231">
        <f>+Janvier!AN34</f>
        <v>1872.2027972027972</v>
      </c>
      <c r="AM34" s="231">
        <f>+Janvier!AO34</f>
        <v>1158.4254807692307</v>
      </c>
      <c r="AN34" s="231">
        <f>+Janvier!AP34</f>
        <v>2316.8509615384614</v>
      </c>
      <c r="AO34" s="231">
        <f>+Janvier!AQ34</f>
        <v>1158.4254807692307</v>
      </c>
      <c r="AP34" s="231">
        <f>+Janvier!AR34</f>
        <v>1158.4254807692307</v>
      </c>
      <c r="AQ34" s="231">
        <f>+Janvier!AS34</f>
        <v>2059.4230769230767</v>
      </c>
      <c r="AR34" s="16">
        <f t="shared" si="59"/>
        <v>4</v>
      </c>
      <c r="AS34" s="16">
        <f t="shared" si="60"/>
        <v>4</v>
      </c>
      <c r="AT34" s="16">
        <f t="shared" si="61"/>
        <v>4</v>
      </c>
      <c r="AU34" s="16">
        <f t="shared" si="62"/>
        <v>4</v>
      </c>
      <c r="AV34" s="16">
        <f t="shared" si="63"/>
        <v>5</v>
      </c>
      <c r="AW34" s="16">
        <f t="shared" si="64"/>
        <v>4</v>
      </c>
      <c r="AX34" s="16">
        <f t="shared" si="65"/>
        <v>4</v>
      </c>
      <c r="AY34" s="16">
        <f t="shared" si="66"/>
        <v>4</v>
      </c>
      <c r="AZ34" s="16">
        <f t="shared" si="67"/>
        <v>4</v>
      </c>
      <c r="BA34" s="17">
        <f t="shared" si="68"/>
        <v>5</v>
      </c>
    </row>
    <row r="35" spans="1:53" ht="15" thickBot="1" x14ac:dyDescent="0.35">
      <c r="A35" s="184" t="s">
        <v>39</v>
      </c>
      <c r="B35" s="160">
        <v>44013</v>
      </c>
      <c r="C35" s="94">
        <v>44042</v>
      </c>
      <c r="D35" s="106">
        <v>4500</v>
      </c>
      <c r="E35" s="106">
        <v>420</v>
      </c>
      <c r="F35" s="97">
        <v>0</v>
      </c>
      <c r="G35" s="116">
        <v>13720</v>
      </c>
      <c r="H35" s="106">
        <v>2320</v>
      </c>
      <c r="I35" s="97">
        <v>0</v>
      </c>
      <c r="J35" s="236">
        <v>9010</v>
      </c>
      <c r="K35" s="106">
        <v>700</v>
      </c>
      <c r="L35" s="97">
        <v>0</v>
      </c>
      <c r="M35" s="106">
        <v>9008</v>
      </c>
      <c r="N35" s="106">
        <v>620</v>
      </c>
      <c r="O35" s="97">
        <v>0</v>
      </c>
      <c r="P35" s="106">
        <v>6802</v>
      </c>
      <c r="Q35" s="106">
        <v>1467</v>
      </c>
      <c r="R35" s="97">
        <v>0</v>
      </c>
      <c r="S35" s="106">
        <v>3460</v>
      </c>
      <c r="T35" s="106">
        <v>700</v>
      </c>
      <c r="U35" s="97">
        <v>0</v>
      </c>
      <c r="V35" s="106">
        <v>8070</v>
      </c>
      <c r="W35" s="106">
        <v>2490</v>
      </c>
      <c r="X35" s="97">
        <v>0</v>
      </c>
      <c r="Y35" s="106">
        <v>4000</v>
      </c>
      <c r="Z35" s="106">
        <v>660</v>
      </c>
      <c r="AA35" s="100">
        <v>0</v>
      </c>
      <c r="AB35" s="106">
        <v>4100</v>
      </c>
      <c r="AC35" s="106">
        <v>220</v>
      </c>
      <c r="AD35" s="97">
        <v>0</v>
      </c>
      <c r="AE35" s="106">
        <v>7230</v>
      </c>
      <c r="AF35" s="106">
        <v>3190</v>
      </c>
      <c r="AG35" s="105">
        <v>0</v>
      </c>
      <c r="AH35" s="231">
        <f>+Janvier!AJ35</f>
        <v>4319.1346153846152</v>
      </c>
      <c r="AI35" s="231">
        <f>+Janvier!AK35</f>
        <v>13437.307692307693</v>
      </c>
      <c r="AJ35" s="231">
        <f>+Janvier!AL35</f>
        <v>10077.98076923077</v>
      </c>
      <c r="AK35" s="231">
        <f>+Janvier!AM35</f>
        <v>10077.98076923077</v>
      </c>
      <c r="AL35" s="231">
        <f>+Janvier!AN35</f>
        <v>6107.8671328671326</v>
      </c>
      <c r="AM35" s="231">
        <f>+Janvier!AO35</f>
        <v>3779.2427884615386</v>
      </c>
      <c r="AN35" s="231">
        <f>+Janvier!AP35</f>
        <v>7558.4855769230771</v>
      </c>
      <c r="AO35" s="231">
        <f>+Janvier!AQ35</f>
        <v>3779.2427884615386</v>
      </c>
      <c r="AP35" s="231">
        <f>+Janvier!AR35</f>
        <v>3779.2427884615386</v>
      </c>
      <c r="AQ35" s="231">
        <f>+Janvier!AS35</f>
        <v>6718.6538461538466</v>
      </c>
      <c r="AR35" s="16">
        <f t="shared" si="59"/>
        <v>0</v>
      </c>
      <c r="AS35" s="16">
        <f t="shared" si="60"/>
        <v>1</v>
      </c>
      <c r="AT35" s="16">
        <f t="shared" si="61"/>
        <v>0</v>
      </c>
      <c r="AU35" s="16">
        <f t="shared" si="62"/>
        <v>0</v>
      </c>
      <c r="AV35" s="16">
        <f t="shared" si="63"/>
        <v>1</v>
      </c>
      <c r="AW35" s="16">
        <f t="shared" si="64"/>
        <v>1</v>
      </c>
      <c r="AX35" s="16">
        <f t="shared" si="65"/>
        <v>2</v>
      </c>
      <c r="AY35" s="16">
        <f t="shared" si="66"/>
        <v>1</v>
      </c>
      <c r="AZ35" s="16">
        <f t="shared" si="67"/>
        <v>0</v>
      </c>
      <c r="BA35" s="17">
        <f t="shared" si="68"/>
        <v>2</v>
      </c>
    </row>
    <row r="36" spans="1:53" ht="15" thickBot="1" x14ac:dyDescent="0.35">
      <c r="A36" s="184" t="s">
        <v>40</v>
      </c>
      <c r="B36" s="160">
        <v>44013</v>
      </c>
      <c r="C36" s="94">
        <v>44042</v>
      </c>
      <c r="D36" s="106">
        <v>5960</v>
      </c>
      <c r="E36" s="106">
        <v>900</v>
      </c>
      <c r="F36" s="97">
        <v>0</v>
      </c>
      <c r="G36" s="116">
        <v>18300</v>
      </c>
      <c r="H36" s="106">
        <v>5540</v>
      </c>
      <c r="I36" s="97">
        <v>0</v>
      </c>
      <c r="J36" s="236">
        <v>12660</v>
      </c>
      <c r="K36" s="106">
        <v>3670</v>
      </c>
      <c r="L36" s="97">
        <v>0</v>
      </c>
      <c r="M36" s="106">
        <v>12300</v>
      </c>
      <c r="N36" s="106">
        <v>3800</v>
      </c>
      <c r="O36" s="97">
        <v>0</v>
      </c>
      <c r="P36" s="106">
        <v>8450</v>
      </c>
      <c r="Q36" s="106">
        <v>2500</v>
      </c>
      <c r="R36" s="97">
        <v>0</v>
      </c>
      <c r="S36" s="106">
        <v>4550</v>
      </c>
      <c r="T36" s="106">
        <v>1500</v>
      </c>
      <c r="U36" s="97">
        <v>0</v>
      </c>
      <c r="V36" s="106">
        <v>9900</v>
      </c>
      <c r="W36" s="106">
        <v>2950</v>
      </c>
      <c r="X36" s="97">
        <v>0</v>
      </c>
      <c r="Y36" s="106">
        <v>6040</v>
      </c>
      <c r="Z36" s="106">
        <v>1660</v>
      </c>
      <c r="AA36" s="100">
        <v>0</v>
      </c>
      <c r="AB36" s="106">
        <v>6500</v>
      </c>
      <c r="AC36" s="106">
        <v>1330</v>
      </c>
      <c r="AD36" s="97">
        <v>0</v>
      </c>
      <c r="AE36" s="106">
        <v>6980</v>
      </c>
      <c r="AF36" s="106">
        <v>3060</v>
      </c>
      <c r="AG36" s="105">
        <v>0</v>
      </c>
      <c r="AH36" s="231">
        <f>+Janvier!AJ36</f>
        <v>3701.7445054945065</v>
      </c>
      <c r="AI36" s="231">
        <f>+Janvier!AK36</f>
        <v>11516.538461538461</v>
      </c>
      <c r="AJ36" s="231">
        <f>+Janvier!AL36</f>
        <v>8637.4038461538476</v>
      </c>
      <c r="AK36" s="231">
        <f>+Janvier!AM36</f>
        <v>8637.4038461538476</v>
      </c>
      <c r="AL36" s="231">
        <f>+Janvier!AN36</f>
        <v>5234.7902097902097</v>
      </c>
      <c r="AM36" s="231">
        <f>+Janvier!AO36</f>
        <v>3239.0264423076924</v>
      </c>
      <c r="AN36" s="231">
        <f>+Janvier!AP36</f>
        <v>6478.0528846153848</v>
      </c>
      <c r="AO36" s="231">
        <f>+Janvier!AQ36</f>
        <v>3239.0264423076924</v>
      </c>
      <c r="AP36" s="231">
        <f>+Janvier!AR36</f>
        <v>3239.0264423076924</v>
      </c>
      <c r="AQ36" s="231">
        <f>+Janvier!AS36</f>
        <v>5758.2692307692305</v>
      </c>
      <c r="AR36" s="16">
        <f t="shared" si="59"/>
        <v>1</v>
      </c>
      <c r="AS36" s="16">
        <f t="shared" si="60"/>
        <v>2</v>
      </c>
      <c r="AT36" s="16">
        <f t="shared" si="61"/>
        <v>2</v>
      </c>
      <c r="AU36" s="16">
        <f t="shared" si="62"/>
        <v>2</v>
      </c>
      <c r="AV36" s="16">
        <f t="shared" si="63"/>
        <v>2</v>
      </c>
      <c r="AW36" s="16">
        <f t="shared" si="64"/>
        <v>2</v>
      </c>
      <c r="AX36" s="16">
        <f t="shared" si="65"/>
        <v>2</v>
      </c>
      <c r="AY36" s="16">
        <f t="shared" si="66"/>
        <v>3</v>
      </c>
      <c r="AZ36" s="16">
        <f t="shared" si="67"/>
        <v>2</v>
      </c>
      <c r="BA36" s="17">
        <f t="shared" si="68"/>
        <v>3</v>
      </c>
    </row>
    <row r="37" spans="1:53" ht="15" thickBot="1" x14ac:dyDescent="0.35">
      <c r="A37" s="184" t="s">
        <v>41</v>
      </c>
      <c r="B37" s="160">
        <v>44013</v>
      </c>
      <c r="C37" s="94">
        <v>44042</v>
      </c>
      <c r="D37" s="106">
        <v>4000</v>
      </c>
      <c r="E37" s="106">
        <v>1960</v>
      </c>
      <c r="F37" s="97">
        <v>0</v>
      </c>
      <c r="G37" s="116">
        <v>7700</v>
      </c>
      <c r="H37" s="106">
        <v>2300</v>
      </c>
      <c r="I37" s="97">
        <v>0</v>
      </c>
      <c r="J37" s="236">
        <v>5390</v>
      </c>
      <c r="K37" s="106">
        <v>2000</v>
      </c>
      <c r="L37" s="97">
        <v>0</v>
      </c>
      <c r="M37" s="106">
        <v>5200</v>
      </c>
      <c r="N37" s="106">
        <v>2940</v>
      </c>
      <c r="O37" s="97">
        <v>0</v>
      </c>
      <c r="P37" s="106">
        <v>3600</v>
      </c>
      <c r="Q37" s="106">
        <v>1200</v>
      </c>
      <c r="R37" s="97">
        <v>0</v>
      </c>
      <c r="S37" s="106">
        <v>1560</v>
      </c>
      <c r="T37" s="106">
        <v>780</v>
      </c>
      <c r="U37" s="97">
        <v>0</v>
      </c>
      <c r="V37" s="106">
        <v>4650</v>
      </c>
      <c r="W37" s="106">
        <v>3120</v>
      </c>
      <c r="X37" s="97">
        <v>0</v>
      </c>
      <c r="Y37" s="106">
        <v>2220</v>
      </c>
      <c r="Z37" s="106">
        <v>1020</v>
      </c>
      <c r="AA37" s="100">
        <v>0</v>
      </c>
      <c r="AB37" s="106">
        <v>2300</v>
      </c>
      <c r="AC37" s="106">
        <v>1180</v>
      </c>
      <c r="AD37" s="97">
        <v>0</v>
      </c>
      <c r="AE37" s="106">
        <v>3830</v>
      </c>
      <c r="AF37" s="106">
        <v>2960</v>
      </c>
      <c r="AG37" s="105">
        <v>0</v>
      </c>
      <c r="AH37" s="231">
        <f>+Janvier!AJ37</f>
        <v>2204.0109890109893</v>
      </c>
      <c r="AI37" s="231">
        <f>+Janvier!AK37</f>
        <v>6856.9230769230771</v>
      </c>
      <c r="AJ37" s="231">
        <f>+Janvier!AL37</f>
        <v>5142.6923076923085</v>
      </c>
      <c r="AK37" s="231">
        <f>+Janvier!AM37</f>
        <v>5142.6923076923085</v>
      </c>
      <c r="AL37" s="231">
        <f>+Janvier!AN37</f>
        <v>3116.7832167832171</v>
      </c>
      <c r="AM37" s="231">
        <f>+Janvier!AO37</f>
        <v>1928.5096153846155</v>
      </c>
      <c r="AN37" s="231">
        <f>+Janvier!AP37</f>
        <v>3857.0192307692309</v>
      </c>
      <c r="AO37" s="231">
        <f>+Janvier!AQ37</f>
        <v>1928.5096153846155</v>
      </c>
      <c r="AP37" s="231">
        <f>+Janvier!AR37</f>
        <v>1928.5096153846155</v>
      </c>
      <c r="AQ37" s="231">
        <f>+Janvier!AS37</f>
        <v>3428.4615384615386</v>
      </c>
      <c r="AR37" s="16">
        <f t="shared" si="59"/>
        <v>4</v>
      </c>
      <c r="AS37" s="16">
        <f t="shared" si="60"/>
        <v>2</v>
      </c>
      <c r="AT37" s="16">
        <f t="shared" si="61"/>
        <v>2</v>
      </c>
      <c r="AU37" s="16">
        <f t="shared" si="62"/>
        <v>3</v>
      </c>
      <c r="AV37" s="16">
        <f t="shared" si="63"/>
        <v>2</v>
      </c>
      <c r="AW37" s="16">
        <f t="shared" si="64"/>
        <v>2</v>
      </c>
      <c r="AX37" s="16">
        <f t="shared" si="65"/>
        <v>4</v>
      </c>
      <c r="AY37" s="16">
        <f t="shared" si="66"/>
        <v>3</v>
      </c>
      <c r="AZ37" s="16">
        <f t="shared" si="67"/>
        <v>3</v>
      </c>
      <c r="BA37" s="17">
        <f t="shared" si="68"/>
        <v>4</v>
      </c>
    </row>
    <row r="38" spans="1:53" ht="15" thickBot="1" x14ac:dyDescent="0.35">
      <c r="A38" s="184" t="s">
        <v>42</v>
      </c>
      <c r="B38" s="160">
        <v>44013</v>
      </c>
      <c r="C38" s="94">
        <v>44042</v>
      </c>
      <c r="D38" s="106">
        <v>7940</v>
      </c>
      <c r="E38" s="106">
        <v>4040</v>
      </c>
      <c r="F38" s="97">
        <v>0</v>
      </c>
      <c r="G38" s="116">
        <v>14700</v>
      </c>
      <c r="H38" s="106">
        <v>5500</v>
      </c>
      <c r="I38" s="97">
        <v>0</v>
      </c>
      <c r="J38" s="236">
        <v>12010</v>
      </c>
      <c r="K38" s="106">
        <v>3580</v>
      </c>
      <c r="L38" s="97">
        <v>0</v>
      </c>
      <c r="M38" s="106">
        <v>12240</v>
      </c>
      <c r="N38" s="106">
        <v>3600</v>
      </c>
      <c r="O38" s="97">
        <v>0</v>
      </c>
      <c r="P38" s="106">
        <v>5000</v>
      </c>
      <c r="Q38" s="106">
        <v>800</v>
      </c>
      <c r="R38" s="97">
        <v>0</v>
      </c>
      <c r="S38" s="106">
        <v>3680</v>
      </c>
      <c r="T38" s="106">
        <v>900</v>
      </c>
      <c r="U38" s="97">
        <v>0</v>
      </c>
      <c r="V38" s="106">
        <v>9000</v>
      </c>
      <c r="W38" s="106">
        <v>3700</v>
      </c>
      <c r="X38" s="97">
        <v>0</v>
      </c>
      <c r="Y38" s="106">
        <v>7100</v>
      </c>
      <c r="Z38" s="106">
        <v>3790</v>
      </c>
      <c r="AA38" s="100">
        <v>0</v>
      </c>
      <c r="AB38" s="106">
        <v>6900</v>
      </c>
      <c r="AC38" s="106">
        <v>2100</v>
      </c>
      <c r="AD38" s="97">
        <v>0</v>
      </c>
      <c r="AE38" s="106">
        <v>7500</v>
      </c>
      <c r="AF38" s="106">
        <v>3200</v>
      </c>
      <c r="AG38" s="105">
        <v>0</v>
      </c>
      <c r="AH38" s="231">
        <f>+Janvier!AJ38</f>
        <v>4595.1923076923076</v>
      </c>
      <c r="AI38" s="231">
        <f>+Janvier!AK38</f>
        <v>14296.153846153846</v>
      </c>
      <c r="AJ38" s="231">
        <f>+Janvier!AL38</f>
        <v>10722.115384615387</v>
      </c>
      <c r="AK38" s="231">
        <f>+Janvier!AM38</f>
        <v>10722.115384615387</v>
      </c>
      <c r="AL38" s="231">
        <f>+Janvier!AN38</f>
        <v>6498.2517482517496</v>
      </c>
      <c r="AM38" s="231">
        <f>+Janvier!AO38</f>
        <v>4020.7932692307691</v>
      </c>
      <c r="AN38" s="231">
        <f>+Janvier!AP38</f>
        <v>8041.5865384615381</v>
      </c>
      <c r="AO38" s="231">
        <f>+Janvier!AQ38</f>
        <v>4020.7932692307691</v>
      </c>
      <c r="AP38" s="231">
        <f>+Janvier!AR38</f>
        <v>4020.7932692307691</v>
      </c>
      <c r="AQ38" s="231">
        <f>+Janvier!AS38</f>
        <v>7148.0769230769229</v>
      </c>
      <c r="AR38" s="16">
        <f t="shared" si="59"/>
        <v>4</v>
      </c>
      <c r="AS38" s="16">
        <f t="shared" si="60"/>
        <v>2</v>
      </c>
      <c r="AT38" s="16">
        <f t="shared" si="61"/>
        <v>2</v>
      </c>
      <c r="AU38" s="16">
        <f t="shared" si="62"/>
        <v>2</v>
      </c>
      <c r="AV38" s="16">
        <f t="shared" si="63"/>
        <v>1</v>
      </c>
      <c r="AW38" s="16">
        <f t="shared" si="64"/>
        <v>1</v>
      </c>
      <c r="AX38" s="16">
        <f t="shared" si="65"/>
        <v>2</v>
      </c>
      <c r="AY38" s="16">
        <f t="shared" si="66"/>
        <v>5</v>
      </c>
      <c r="AZ38" s="16">
        <f t="shared" si="67"/>
        <v>3</v>
      </c>
      <c r="BA38" s="17">
        <f t="shared" si="68"/>
        <v>2</v>
      </c>
    </row>
    <row r="39" spans="1:53" ht="15" thickBot="1" x14ac:dyDescent="0.35">
      <c r="A39" s="121" t="s">
        <v>43</v>
      </c>
      <c r="B39" s="160">
        <v>44013</v>
      </c>
      <c r="C39" s="143">
        <v>44042</v>
      </c>
      <c r="D39" s="145">
        <v>4300</v>
      </c>
      <c r="E39" s="145">
        <v>280</v>
      </c>
      <c r="F39" s="110">
        <v>0</v>
      </c>
      <c r="G39" s="147">
        <v>10000</v>
      </c>
      <c r="H39" s="145">
        <v>6560</v>
      </c>
      <c r="I39" s="110">
        <v>0</v>
      </c>
      <c r="J39" s="238">
        <v>9500</v>
      </c>
      <c r="K39" s="145">
        <v>3300</v>
      </c>
      <c r="L39" s="110">
        <v>0</v>
      </c>
      <c r="M39" s="145">
        <v>8000</v>
      </c>
      <c r="N39" s="145">
        <v>2988</v>
      </c>
      <c r="O39" s="110">
        <v>0</v>
      </c>
      <c r="P39" s="145">
        <v>5450</v>
      </c>
      <c r="Q39" s="145">
        <v>1500</v>
      </c>
      <c r="R39" s="110">
        <v>0</v>
      </c>
      <c r="S39" s="145">
        <v>2500</v>
      </c>
      <c r="T39" s="145">
        <v>1040</v>
      </c>
      <c r="U39" s="110">
        <v>0</v>
      </c>
      <c r="V39" s="145">
        <v>6000</v>
      </c>
      <c r="W39" s="145">
        <v>4380</v>
      </c>
      <c r="X39" s="110">
        <v>0</v>
      </c>
      <c r="Y39" s="145">
        <v>2500</v>
      </c>
      <c r="Z39" s="145">
        <v>610</v>
      </c>
      <c r="AA39" s="162">
        <v>0</v>
      </c>
      <c r="AB39" s="145">
        <v>4000</v>
      </c>
      <c r="AC39" s="145">
        <v>110</v>
      </c>
      <c r="AD39" s="110">
        <v>0</v>
      </c>
      <c r="AE39" s="145">
        <v>5600</v>
      </c>
      <c r="AF39" s="145">
        <v>3670</v>
      </c>
      <c r="AG39" s="112">
        <v>0</v>
      </c>
      <c r="AH39" s="231">
        <f>+Janvier!AJ39</f>
        <v>4254.2307692307695</v>
      </c>
      <c r="AI39" s="231">
        <f>+Janvier!AK39</f>
        <v>13235.384615384613</v>
      </c>
      <c r="AJ39" s="231">
        <f>+Janvier!AL39</f>
        <v>9926.538461538461</v>
      </c>
      <c r="AK39" s="231">
        <f>+Janvier!AM39</f>
        <v>9926.538461538461</v>
      </c>
      <c r="AL39" s="231">
        <f>+Janvier!AN39</f>
        <v>6016.0839160839159</v>
      </c>
      <c r="AM39" s="231">
        <f>+Janvier!AO39</f>
        <v>3722.4519230769233</v>
      </c>
      <c r="AN39" s="231">
        <f>+Janvier!AP39</f>
        <v>7444.9038461538466</v>
      </c>
      <c r="AO39" s="231">
        <f>+Janvier!AQ39</f>
        <v>3722.4519230769233</v>
      </c>
      <c r="AP39" s="231">
        <f>+Janvier!AR39</f>
        <v>3722.4519230769233</v>
      </c>
      <c r="AQ39" s="231">
        <f>+Janvier!AS39</f>
        <v>6617.6923076923067</v>
      </c>
      <c r="AR39" s="32">
        <f t="shared" si="59"/>
        <v>0</v>
      </c>
      <c r="AS39" s="32">
        <f t="shared" si="60"/>
        <v>2</v>
      </c>
      <c r="AT39" s="32">
        <f t="shared" si="61"/>
        <v>2</v>
      </c>
      <c r="AU39" s="32">
        <f t="shared" si="62"/>
        <v>2</v>
      </c>
      <c r="AV39" s="32">
        <f t="shared" si="63"/>
        <v>1</v>
      </c>
      <c r="AW39" s="32">
        <f t="shared" si="64"/>
        <v>1</v>
      </c>
      <c r="AX39" s="32">
        <f t="shared" si="65"/>
        <v>3</v>
      </c>
      <c r="AY39" s="32">
        <f t="shared" si="66"/>
        <v>1</v>
      </c>
      <c r="AZ39" s="32">
        <f t="shared" si="67"/>
        <v>0</v>
      </c>
      <c r="BA39" s="33">
        <f t="shared" si="68"/>
        <v>3</v>
      </c>
    </row>
    <row r="40" spans="1:53" ht="15.6" x14ac:dyDescent="0.3">
      <c r="A40" s="198" t="s">
        <v>88</v>
      </c>
      <c r="B40" s="160">
        <v>44013</v>
      </c>
      <c r="C40" s="160">
        <v>44043</v>
      </c>
      <c r="D40" s="122">
        <v>0</v>
      </c>
      <c r="E40" s="123">
        <v>0</v>
      </c>
      <c r="F40" s="124">
        <v>4</v>
      </c>
      <c r="G40" s="125">
        <v>0</v>
      </c>
      <c r="H40" s="123">
        <v>64640</v>
      </c>
      <c r="I40" s="126">
        <v>0</v>
      </c>
      <c r="J40" s="125">
        <v>0</v>
      </c>
      <c r="K40" s="123">
        <v>6670</v>
      </c>
      <c r="L40" s="124">
        <v>0</v>
      </c>
      <c r="M40" s="125">
        <v>0</v>
      </c>
      <c r="N40" s="123">
        <v>2660</v>
      </c>
      <c r="O40" s="124">
        <v>0</v>
      </c>
      <c r="P40" s="125">
        <v>0</v>
      </c>
      <c r="Q40" s="123">
        <v>3750</v>
      </c>
      <c r="R40" s="124">
        <v>0</v>
      </c>
      <c r="S40" s="125">
        <v>0</v>
      </c>
      <c r="T40" s="123">
        <v>985</v>
      </c>
      <c r="U40" s="124">
        <v>0</v>
      </c>
      <c r="V40" s="125">
        <v>0</v>
      </c>
      <c r="W40" s="123">
        <v>37100</v>
      </c>
      <c r="X40" s="124">
        <v>0</v>
      </c>
      <c r="Y40" s="125">
        <v>0</v>
      </c>
      <c r="Z40" s="123">
        <v>15150</v>
      </c>
      <c r="AA40" s="124">
        <v>0</v>
      </c>
      <c r="AB40" s="125">
        <v>0</v>
      </c>
      <c r="AC40" s="123">
        <v>12250</v>
      </c>
      <c r="AD40" s="124">
        <v>0</v>
      </c>
      <c r="AE40" s="125">
        <v>0</v>
      </c>
      <c r="AF40" s="123">
        <v>14970</v>
      </c>
      <c r="AG40" s="126">
        <v>0</v>
      </c>
      <c r="AH40" s="231">
        <f>+Janvier!AJ40</f>
        <v>69601.949999999983</v>
      </c>
      <c r="AI40" s="231">
        <f>+Janvier!AK40</f>
        <v>241304.71153846153</v>
      </c>
      <c r="AJ40" s="231">
        <f>+Janvier!AL40</f>
        <v>160708.93788461541</v>
      </c>
      <c r="AK40" s="231">
        <f>+Janvier!AM40</f>
        <v>160708.93788461541</v>
      </c>
      <c r="AL40" s="231">
        <f>+Janvier!AN40</f>
        <v>101347.97884615386</v>
      </c>
      <c r="AM40" s="231">
        <f>+Janvier!AO40</f>
        <v>60326.177884615383</v>
      </c>
      <c r="AN40" s="231">
        <f>+Janvier!AP40</f>
        <v>120652.35576923077</v>
      </c>
      <c r="AO40" s="231">
        <f>+Janvier!AQ40</f>
        <v>60326.177884615383</v>
      </c>
      <c r="AP40" s="231">
        <f>+Janvier!AR40</f>
        <v>60326.177884615383</v>
      </c>
      <c r="AQ40" s="231">
        <f>+Janvier!AS40</f>
        <v>108053.37692307694</v>
      </c>
      <c r="AR40" s="16">
        <f>ROUND(E40/(AH40/15),0)</f>
        <v>0</v>
      </c>
      <c r="AS40" s="16">
        <f t="shared" ref="AS40" si="69">ROUND(H40/(AI40/15),0)</f>
        <v>4</v>
      </c>
      <c r="AT40" s="16">
        <f t="shared" ref="AT40" si="70">ROUND(K40/(AJ40/15),0)</f>
        <v>1</v>
      </c>
      <c r="AU40" s="16">
        <f t="shared" ref="AU40" si="71">ROUND(N40/(AK40/15),0)</f>
        <v>0</v>
      </c>
      <c r="AV40" s="16">
        <f t="shared" ref="AV40" si="72">ROUND(Q40/(AL40/15),0)</f>
        <v>1</v>
      </c>
      <c r="AW40" s="16">
        <f t="shared" ref="AW40" si="73">ROUND(T40/(AM40/15),0)</f>
        <v>0</v>
      </c>
      <c r="AX40" s="16">
        <f t="shared" ref="AX40" si="74">ROUND(W40/(AN40/15),0)</f>
        <v>5</v>
      </c>
      <c r="AY40" s="16">
        <f t="shared" ref="AY40" si="75">ROUND(Z40/(AO40/15),0)</f>
        <v>4</v>
      </c>
      <c r="AZ40" s="16">
        <f t="shared" ref="AZ40" si="76">ROUND(AC40/(AP40/15),0)</f>
        <v>3</v>
      </c>
      <c r="BA40" s="17">
        <f t="shared" ref="BA40" si="77">ROUND(AF40/(AQ40/15),0)</f>
        <v>2</v>
      </c>
    </row>
    <row r="41" spans="1:53" ht="15.6" x14ac:dyDescent="0.3">
      <c r="A41" s="199" t="s">
        <v>44</v>
      </c>
      <c r="B41" s="94">
        <v>44013</v>
      </c>
      <c r="C41" s="94">
        <v>44043</v>
      </c>
      <c r="D41" s="107">
        <v>0</v>
      </c>
      <c r="E41" s="96">
        <v>260</v>
      </c>
      <c r="F41" s="97">
        <v>0</v>
      </c>
      <c r="G41" s="95">
        <v>4300</v>
      </c>
      <c r="H41" s="96">
        <v>5440</v>
      </c>
      <c r="I41" s="105">
        <v>0</v>
      </c>
      <c r="J41" s="95">
        <v>3400</v>
      </c>
      <c r="K41" s="96">
        <v>4130</v>
      </c>
      <c r="L41" s="97">
        <v>0</v>
      </c>
      <c r="M41" s="95">
        <v>3500</v>
      </c>
      <c r="N41" s="96">
        <v>4168</v>
      </c>
      <c r="O41" s="97">
        <v>0</v>
      </c>
      <c r="P41" s="95">
        <v>2200</v>
      </c>
      <c r="Q41" s="96">
        <v>2535</v>
      </c>
      <c r="R41" s="97">
        <v>0</v>
      </c>
      <c r="S41" s="95">
        <v>1350</v>
      </c>
      <c r="T41" s="96">
        <v>1560</v>
      </c>
      <c r="U41" s="97">
        <v>0</v>
      </c>
      <c r="V41" s="95">
        <v>2500</v>
      </c>
      <c r="W41" s="96">
        <v>3050</v>
      </c>
      <c r="X41" s="97">
        <v>0</v>
      </c>
      <c r="Y41" s="95">
        <v>1300</v>
      </c>
      <c r="Z41" s="96">
        <v>1580</v>
      </c>
      <c r="AA41" s="97">
        <v>0</v>
      </c>
      <c r="AB41" s="95">
        <v>1300</v>
      </c>
      <c r="AC41" s="96">
        <v>1590</v>
      </c>
      <c r="AD41" s="97">
        <v>0</v>
      </c>
      <c r="AE41" s="95">
        <v>2500</v>
      </c>
      <c r="AF41" s="96">
        <v>2920</v>
      </c>
      <c r="AG41" s="105">
        <v>0</v>
      </c>
      <c r="AH41" s="231">
        <f>+Janvier!AJ41</f>
        <v>1769.7115384615383</v>
      </c>
      <c r="AI41" s="231">
        <f>+Janvier!AK41</f>
        <v>5505.7692307692305</v>
      </c>
      <c r="AJ41" s="231">
        <f>+Janvier!AL41</f>
        <v>4129.3269230769229</v>
      </c>
      <c r="AK41" s="231">
        <f>+Janvier!AM41</f>
        <v>4129.3269230769229</v>
      </c>
      <c r="AL41" s="231">
        <f>+Janvier!AN41</f>
        <v>2502.6223776223778</v>
      </c>
      <c r="AM41" s="231">
        <f>+Janvier!AO41</f>
        <v>1548.4975961538462</v>
      </c>
      <c r="AN41" s="231">
        <f>+Janvier!AP41</f>
        <v>3096.9951923076924</v>
      </c>
      <c r="AO41" s="231">
        <f>+Janvier!AQ41</f>
        <v>1548.4975961538462</v>
      </c>
      <c r="AP41" s="231">
        <f>+Janvier!AR41</f>
        <v>1548.4975961538462</v>
      </c>
      <c r="AQ41" s="231">
        <f>+Janvier!AS41</f>
        <v>2752.8846153846152</v>
      </c>
      <c r="AR41" s="16">
        <f t="shared" ref="AR41:AR53" si="78">ROUND(E41/(AH41/5),0)</f>
        <v>1</v>
      </c>
      <c r="AS41" s="16">
        <f t="shared" ref="AS41:AS53" si="79">ROUND(H41/(AI41/5),0)</f>
        <v>5</v>
      </c>
      <c r="AT41" s="16">
        <f t="shared" ref="AT41:AT53" si="80">ROUND(K41/(AJ41/5),0)</f>
        <v>5</v>
      </c>
      <c r="AU41" s="16">
        <f t="shared" ref="AU41:AU53" si="81">ROUND(N41/(AK41/5),0)</f>
        <v>5</v>
      </c>
      <c r="AV41" s="16">
        <f t="shared" ref="AV41:AV53" si="82">ROUND(Q41/(AL41/5),0)</f>
        <v>5</v>
      </c>
      <c r="AW41" s="16">
        <f t="shared" ref="AW41:AW53" si="83">ROUND(T41/(AM41/5),0)</f>
        <v>5</v>
      </c>
      <c r="AX41" s="16">
        <f t="shared" ref="AX41:AX53" si="84">ROUND(W41/(AN41/5),0)</f>
        <v>5</v>
      </c>
      <c r="AY41" s="16">
        <f t="shared" ref="AY41:AY53" si="85">ROUND(Z41/(AO41/5),0)</f>
        <v>5</v>
      </c>
      <c r="AZ41" s="16">
        <f t="shared" ref="AZ41:AZ53" si="86">ROUND(AC41/(AP41/5),0)</f>
        <v>5</v>
      </c>
      <c r="BA41" s="17">
        <f t="shared" ref="BA41:BA53" si="87">ROUND(AF41/(AQ41/5),0)</f>
        <v>5</v>
      </c>
    </row>
    <row r="42" spans="1:53" ht="15.6" x14ac:dyDescent="0.3">
      <c r="A42" s="199" t="s">
        <v>45</v>
      </c>
      <c r="B42" s="94">
        <v>44013</v>
      </c>
      <c r="C42" s="94">
        <v>44043</v>
      </c>
      <c r="D42" s="107">
        <v>400</v>
      </c>
      <c r="E42" s="96">
        <v>500</v>
      </c>
      <c r="F42" s="97">
        <v>0</v>
      </c>
      <c r="G42" s="95">
        <v>1220</v>
      </c>
      <c r="H42" s="96">
        <v>1560</v>
      </c>
      <c r="I42" s="105">
        <v>0</v>
      </c>
      <c r="J42" s="95">
        <v>950</v>
      </c>
      <c r="K42" s="96">
        <v>1170</v>
      </c>
      <c r="L42" s="97">
        <v>0</v>
      </c>
      <c r="M42" s="95">
        <v>1000</v>
      </c>
      <c r="N42" s="96">
        <v>1208</v>
      </c>
      <c r="O42" s="97">
        <v>0</v>
      </c>
      <c r="P42" s="95">
        <v>600</v>
      </c>
      <c r="Q42" s="96">
        <v>698</v>
      </c>
      <c r="R42" s="97">
        <v>0</v>
      </c>
      <c r="S42" s="95">
        <v>320</v>
      </c>
      <c r="T42" s="96">
        <v>445</v>
      </c>
      <c r="U42" s="97">
        <v>0</v>
      </c>
      <c r="V42" s="95">
        <v>500</v>
      </c>
      <c r="W42" s="96">
        <v>880</v>
      </c>
      <c r="X42" s="97">
        <v>0</v>
      </c>
      <c r="Y42" s="95">
        <v>350</v>
      </c>
      <c r="Z42" s="96">
        <v>440</v>
      </c>
      <c r="AA42" s="97">
        <v>0</v>
      </c>
      <c r="AB42" s="95">
        <v>400</v>
      </c>
      <c r="AC42" s="96">
        <v>470</v>
      </c>
      <c r="AD42" s="97">
        <v>0</v>
      </c>
      <c r="AE42" s="95">
        <v>600</v>
      </c>
      <c r="AF42" s="96">
        <v>800</v>
      </c>
      <c r="AG42" s="105">
        <v>0</v>
      </c>
      <c r="AH42" s="231">
        <f>+Janvier!AJ42</f>
        <v>499.20329670329681</v>
      </c>
      <c r="AI42" s="231">
        <f>+Janvier!AK42</f>
        <v>1553.0769230769233</v>
      </c>
      <c r="AJ42" s="231">
        <f>+Janvier!AL42</f>
        <v>1164.8076923076926</v>
      </c>
      <c r="AK42" s="231">
        <f>+Janvier!AM42</f>
        <v>1164.8076923076926</v>
      </c>
      <c r="AL42" s="231">
        <f>+Janvier!AN42</f>
        <v>705.944055944056</v>
      </c>
      <c r="AM42" s="231">
        <f>+Janvier!AO42</f>
        <v>436.80288461538458</v>
      </c>
      <c r="AN42" s="231">
        <f>+Janvier!AP42</f>
        <v>873.60576923076917</v>
      </c>
      <c r="AO42" s="231">
        <f>+Janvier!AQ42</f>
        <v>436.80288461538458</v>
      </c>
      <c r="AP42" s="231">
        <f>+Janvier!AR42</f>
        <v>436.80288461538458</v>
      </c>
      <c r="AQ42" s="231">
        <f>+Janvier!AS42</f>
        <v>776.53846153846166</v>
      </c>
      <c r="AR42" s="16">
        <f t="shared" si="78"/>
        <v>5</v>
      </c>
      <c r="AS42" s="16">
        <f t="shared" si="79"/>
        <v>5</v>
      </c>
      <c r="AT42" s="16">
        <f t="shared" si="80"/>
        <v>5</v>
      </c>
      <c r="AU42" s="16">
        <f t="shared" si="81"/>
        <v>5</v>
      </c>
      <c r="AV42" s="16">
        <f t="shared" si="82"/>
        <v>5</v>
      </c>
      <c r="AW42" s="16">
        <f t="shared" si="83"/>
        <v>5</v>
      </c>
      <c r="AX42" s="16">
        <f t="shared" si="84"/>
        <v>5</v>
      </c>
      <c r="AY42" s="16">
        <f t="shared" si="85"/>
        <v>5</v>
      </c>
      <c r="AZ42" s="16">
        <f t="shared" si="86"/>
        <v>5</v>
      </c>
      <c r="BA42" s="17">
        <f t="shared" si="87"/>
        <v>5</v>
      </c>
    </row>
    <row r="43" spans="1:53" ht="15.6" x14ac:dyDescent="0.3">
      <c r="A43" s="199" t="s">
        <v>46</v>
      </c>
      <c r="B43" s="94">
        <v>44013</v>
      </c>
      <c r="C43" s="94">
        <v>44043</v>
      </c>
      <c r="D43" s="107">
        <v>2700</v>
      </c>
      <c r="E43" s="96">
        <v>3160</v>
      </c>
      <c r="F43" s="97">
        <v>0</v>
      </c>
      <c r="G43" s="95">
        <v>8120</v>
      </c>
      <c r="H43" s="96">
        <v>9580</v>
      </c>
      <c r="I43" s="105">
        <v>0</v>
      </c>
      <c r="J43" s="95">
        <v>6320</v>
      </c>
      <c r="K43" s="96">
        <v>7180</v>
      </c>
      <c r="L43" s="97">
        <v>0</v>
      </c>
      <c r="M43" s="95">
        <v>5200</v>
      </c>
      <c r="N43" s="96">
        <v>7200</v>
      </c>
      <c r="O43" s="97">
        <v>0</v>
      </c>
      <c r="P43" s="95">
        <v>3960</v>
      </c>
      <c r="Q43" s="96">
        <v>4420</v>
      </c>
      <c r="R43" s="97">
        <v>0</v>
      </c>
      <c r="S43" s="95">
        <v>2120</v>
      </c>
      <c r="T43" s="96">
        <v>2650</v>
      </c>
      <c r="U43" s="97">
        <v>0</v>
      </c>
      <c r="V43" s="95">
        <v>4080</v>
      </c>
      <c r="W43" s="96">
        <v>5380</v>
      </c>
      <c r="X43" s="97">
        <v>0</v>
      </c>
      <c r="Y43" s="95">
        <v>2330</v>
      </c>
      <c r="Z43" s="96">
        <v>2700</v>
      </c>
      <c r="AA43" s="97">
        <v>0</v>
      </c>
      <c r="AB43" s="95">
        <v>2400</v>
      </c>
      <c r="AC43" s="96">
        <v>2700</v>
      </c>
      <c r="AD43" s="97">
        <v>0</v>
      </c>
      <c r="AE43" s="95">
        <v>4000</v>
      </c>
      <c r="AF43" s="96">
        <v>4780</v>
      </c>
      <c r="AG43" s="105">
        <v>0</v>
      </c>
      <c r="AH43" s="231">
        <f>+Janvier!AJ43</f>
        <v>3075.0824175824173</v>
      </c>
      <c r="AI43" s="231">
        <f>+Janvier!AK43</f>
        <v>9566.923076923078</v>
      </c>
      <c r="AJ43" s="231">
        <f>+Janvier!AL43</f>
        <v>7175.1923076923067</v>
      </c>
      <c r="AK43" s="231">
        <f>+Janvier!AM43</f>
        <v>7175.1923076923067</v>
      </c>
      <c r="AL43" s="231">
        <f>+Janvier!AN43</f>
        <v>4348.6013986013986</v>
      </c>
      <c r="AM43" s="231">
        <f>+Janvier!AO43</f>
        <v>2690.6971153846152</v>
      </c>
      <c r="AN43" s="231">
        <f>+Janvier!AP43</f>
        <v>5381.3942307692305</v>
      </c>
      <c r="AO43" s="231">
        <f>+Janvier!AQ43</f>
        <v>2690.6971153846152</v>
      </c>
      <c r="AP43" s="231">
        <f>+Janvier!AR43</f>
        <v>2690.6971153846152</v>
      </c>
      <c r="AQ43" s="231">
        <f>+Janvier!AS43</f>
        <v>4783.461538461539</v>
      </c>
      <c r="AR43" s="16">
        <f t="shared" si="78"/>
        <v>5</v>
      </c>
      <c r="AS43" s="16">
        <f t="shared" si="79"/>
        <v>5</v>
      </c>
      <c r="AT43" s="16">
        <f t="shared" si="80"/>
        <v>5</v>
      </c>
      <c r="AU43" s="16">
        <f t="shared" si="81"/>
        <v>5</v>
      </c>
      <c r="AV43" s="16">
        <f t="shared" si="82"/>
        <v>5</v>
      </c>
      <c r="AW43" s="16">
        <f t="shared" si="83"/>
        <v>5</v>
      </c>
      <c r="AX43" s="16">
        <f t="shared" si="84"/>
        <v>5</v>
      </c>
      <c r="AY43" s="16">
        <f t="shared" si="85"/>
        <v>5</v>
      </c>
      <c r="AZ43" s="16">
        <f t="shared" si="86"/>
        <v>5</v>
      </c>
      <c r="BA43" s="17">
        <f t="shared" si="87"/>
        <v>5</v>
      </c>
    </row>
    <row r="44" spans="1:53" ht="15.6" x14ac:dyDescent="0.3">
      <c r="A44" s="199" t="s">
        <v>47</v>
      </c>
      <c r="B44" s="94">
        <v>44013</v>
      </c>
      <c r="C44" s="94">
        <v>44043</v>
      </c>
      <c r="D44" s="107">
        <v>1780</v>
      </c>
      <c r="E44" s="96">
        <v>2080</v>
      </c>
      <c r="F44" s="97">
        <v>0</v>
      </c>
      <c r="G44" s="95">
        <v>6200</v>
      </c>
      <c r="H44" s="96">
        <v>7360</v>
      </c>
      <c r="I44" s="105">
        <v>0</v>
      </c>
      <c r="J44" s="95">
        <v>4700</v>
      </c>
      <c r="K44" s="96">
        <v>5450</v>
      </c>
      <c r="L44" s="97">
        <v>0</v>
      </c>
      <c r="M44" s="95">
        <v>4700</v>
      </c>
      <c r="N44" s="96">
        <v>5460</v>
      </c>
      <c r="O44" s="97">
        <v>0</v>
      </c>
      <c r="P44" s="95">
        <v>3100</v>
      </c>
      <c r="Q44" s="96">
        <v>3350</v>
      </c>
      <c r="R44" s="97">
        <v>0</v>
      </c>
      <c r="S44" s="95">
        <v>1100</v>
      </c>
      <c r="T44" s="96">
        <v>2100</v>
      </c>
      <c r="U44" s="97">
        <v>0</v>
      </c>
      <c r="V44" s="95">
        <v>3000</v>
      </c>
      <c r="W44" s="96">
        <v>4220</v>
      </c>
      <c r="X44" s="97">
        <v>0</v>
      </c>
      <c r="Y44" s="95">
        <v>1900</v>
      </c>
      <c r="Z44" s="96">
        <v>2100</v>
      </c>
      <c r="AA44" s="97">
        <v>0</v>
      </c>
      <c r="AB44" s="95">
        <v>1900</v>
      </c>
      <c r="AC44" s="96">
        <v>2210</v>
      </c>
      <c r="AD44" s="97">
        <v>0</v>
      </c>
      <c r="AE44" s="95">
        <v>2800</v>
      </c>
      <c r="AF44" s="96">
        <v>3680</v>
      </c>
      <c r="AG44" s="105">
        <v>0</v>
      </c>
      <c r="AH44" s="231">
        <f>+Janvier!AJ44</f>
        <v>2324.2994505494512</v>
      </c>
      <c r="AI44" s="231">
        <f>+Janvier!AK44</f>
        <v>7231.1538461538476</v>
      </c>
      <c r="AJ44" s="231">
        <f>+Janvier!AL44</f>
        <v>5423.3653846153857</v>
      </c>
      <c r="AK44" s="231">
        <f>+Janvier!AM44</f>
        <v>5423.3653846153857</v>
      </c>
      <c r="AL44" s="231">
        <f>+Janvier!AN44</f>
        <v>3286.8881118881118</v>
      </c>
      <c r="AM44" s="231">
        <f>+Janvier!AO44</f>
        <v>2033.7620192307693</v>
      </c>
      <c r="AN44" s="231">
        <f>+Janvier!AP44</f>
        <v>4067.5240384615386</v>
      </c>
      <c r="AO44" s="231">
        <f>+Janvier!AQ44</f>
        <v>2033.7620192307693</v>
      </c>
      <c r="AP44" s="231">
        <f>+Janvier!AR44</f>
        <v>2033.7620192307693</v>
      </c>
      <c r="AQ44" s="231">
        <f>+Janvier!AS44</f>
        <v>3615.5769230769238</v>
      </c>
      <c r="AR44" s="16">
        <f t="shared" si="78"/>
        <v>4</v>
      </c>
      <c r="AS44" s="16">
        <f t="shared" si="79"/>
        <v>5</v>
      </c>
      <c r="AT44" s="16">
        <f t="shared" si="80"/>
        <v>5</v>
      </c>
      <c r="AU44" s="16">
        <f t="shared" si="81"/>
        <v>5</v>
      </c>
      <c r="AV44" s="16">
        <f t="shared" si="82"/>
        <v>5</v>
      </c>
      <c r="AW44" s="16">
        <f t="shared" si="83"/>
        <v>5</v>
      </c>
      <c r="AX44" s="16">
        <f t="shared" si="84"/>
        <v>5</v>
      </c>
      <c r="AY44" s="16">
        <f t="shared" si="85"/>
        <v>5</v>
      </c>
      <c r="AZ44" s="16">
        <f t="shared" si="86"/>
        <v>5</v>
      </c>
      <c r="BA44" s="17">
        <f t="shared" si="87"/>
        <v>5</v>
      </c>
    </row>
    <row r="45" spans="1:53" ht="15.6" x14ac:dyDescent="0.3">
      <c r="A45" s="199" t="s">
        <v>48</v>
      </c>
      <c r="B45" s="94">
        <v>44013</v>
      </c>
      <c r="C45" s="94">
        <v>44043</v>
      </c>
      <c r="D45" s="107">
        <v>2100</v>
      </c>
      <c r="E45" s="96">
        <v>2340</v>
      </c>
      <c r="F45" s="97">
        <v>0</v>
      </c>
      <c r="G45" s="95">
        <v>6000</v>
      </c>
      <c r="H45" s="96">
        <v>7280</v>
      </c>
      <c r="I45" s="105">
        <v>0</v>
      </c>
      <c r="J45" s="95">
        <v>4700</v>
      </c>
      <c r="K45" s="96">
        <v>5470</v>
      </c>
      <c r="L45" s="97">
        <v>0</v>
      </c>
      <c r="M45" s="95">
        <v>4600</v>
      </c>
      <c r="N45" s="96">
        <v>5400</v>
      </c>
      <c r="O45" s="97">
        <v>0</v>
      </c>
      <c r="P45" s="95">
        <v>3150</v>
      </c>
      <c r="Q45" s="96">
        <v>3300</v>
      </c>
      <c r="R45" s="97">
        <v>0</v>
      </c>
      <c r="S45" s="95">
        <v>1600</v>
      </c>
      <c r="T45" s="96">
        <v>2040</v>
      </c>
      <c r="U45" s="97">
        <v>0</v>
      </c>
      <c r="V45" s="95">
        <v>2880</v>
      </c>
      <c r="W45" s="96">
        <v>4070</v>
      </c>
      <c r="X45" s="97">
        <v>0</v>
      </c>
      <c r="Y45" s="95">
        <v>1650</v>
      </c>
      <c r="Z45" s="96">
        <v>2040</v>
      </c>
      <c r="AA45" s="97">
        <v>0</v>
      </c>
      <c r="AB45" s="95">
        <v>1800</v>
      </c>
      <c r="AC45" s="96">
        <v>2030</v>
      </c>
      <c r="AD45" s="97">
        <v>0</v>
      </c>
      <c r="AE45" s="95">
        <v>2750</v>
      </c>
      <c r="AF45" s="96">
        <v>3620</v>
      </c>
      <c r="AG45" s="105">
        <v>0</v>
      </c>
      <c r="AH45" s="231">
        <f>+Janvier!AJ45</f>
        <v>2327.5137362637361</v>
      </c>
      <c r="AI45" s="231">
        <f>+Janvier!AK45</f>
        <v>7241.1538461538466</v>
      </c>
      <c r="AJ45" s="231">
        <f>+Janvier!AL45</f>
        <v>5430.8653846153829</v>
      </c>
      <c r="AK45" s="231">
        <f>+Janvier!AM45</f>
        <v>5430.8653846153829</v>
      </c>
      <c r="AL45" s="231">
        <f>+Janvier!AN45</f>
        <v>3291.4335664335663</v>
      </c>
      <c r="AM45" s="231">
        <f>+Janvier!AO45</f>
        <v>2036.5745192307693</v>
      </c>
      <c r="AN45" s="231">
        <f>+Janvier!AP45</f>
        <v>4073.1490384615386</v>
      </c>
      <c r="AO45" s="231">
        <f>+Janvier!AQ45</f>
        <v>2036.5745192307693</v>
      </c>
      <c r="AP45" s="231">
        <f>+Janvier!AR45</f>
        <v>2036.5745192307693</v>
      </c>
      <c r="AQ45" s="231">
        <f>+Janvier!AS45</f>
        <v>3620.5769230769233</v>
      </c>
      <c r="AR45" s="16">
        <f t="shared" si="78"/>
        <v>5</v>
      </c>
      <c r="AS45" s="16">
        <f t="shared" si="79"/>
        <v>5</v>
      </c>
      <c r="AT45" s="16">
        <f t="shared" si="80"/>
        <v>5</v>
      </c>
      <c r="AU45" s="16">
        <f t="shared" si="81"/>
        <v>5</v>
      </c>
      <c r="AV45" s="16">
        <f t="shared" si="82"/>
        <v>5</v>
      </c>
      <c r="AW45" s="16">
        <f t="shared" si="83"/>
        <v>5</v>
      </c>
      <c r="AX45" s="16">
        <f t="shared" si="84"/>
        <v>5</v>
      </c>
      <c r="AY45" s="16">
        <f t="shared" si="85"/>
        <v>5</v>
      </c>
      <c r="AZ45" s="16">
        <f t="shared" si="86"/>
        <v>5</v>
      </c>
      <c r="BA45" s="17">
        <f t="shared" si="87"/>
        <v>5</v>
      </c>
    </row>
    <row r="46" spans="1:53" ht="15.6" x14ac:dyDescent="0.3">
      <c r="A46" s="199" t="s">
        <v>49</v>
      </c>
      <c r="B46" s="94">
        <v>44013</v>
      </c>
      <c r="C46" s="94">
        <v>44043</v>
      </c>
      <c r="D46" s="107">
        <v>1920</v>
      </c>
      <c r="E46" s="96">
        <v>2200</v>
      </c>
      <c r="F46" s="97">
        <v>0</v>
      </c>
      <c r="G46" s="95">
        <v>5100</v>
      </c>
      <c r="H46" s="96">
        <v>6880</v>
      </c>
      <c r="I46" s="105">
        <v>0</v>
      </c>
      <c r="J46" s="95">
        <v>4260</v>
      </c>
      <c r="K46" s="96">
        <v>5360</v>
      </c>
      <c r="L46" s="97">
        <v>0</v>
      </c>
      <c r="M46" s="95">
        <v>3800</v>
      </c>
      <c r="N46" s="96">
        <v>4852</v>
      </c>
      <c r="O46" s="97">
        <v>0</v>
      </c>
      <c r="P46" s="95">
        <v>2600</v>
      </c>
      <c r="Q46" s="96">
        <v>3200</v>
      </c>
      <c r="R46" s="97">
        <v>0</v>
      </c>
      <c r="S46" s="95">
        <v>1350</v>
      </c>
      <c r="T46" s="96">
        <v>1960</v>
      </c>
      <c r="U46" s="97">
        <v>0</v>
      </c>
      <c r="V46" s="95">
        <v>2100</v>
      </c>
      <c r="W46" s="96">
        <v>3930</v>
      </c>
      <c r="X46" s="97">
        <v>0</v>
      </c>
      <c r="Y46" s="95">
        <v>1400</v>
      </c>
      <c r="Z46" s="96">
        <v>1920</v>
      </c>
      <c r="AA46" s="97">
        <v>0</v>
      </c>
      <c r="AB46" s="95">
        <v>1500</v>
      </c>
      <c r="AC46" s="96">
        <v>2040</v>
      </c>
      <c r="AD46" s="97">
        <v>0</v>
      </c>
      <c r="AE46" s="95">
        <v>2200</v>
      </c>
      <c r="AF46" s="96">
        <v>3360</v>
      </c>
      <c r="AG46" s="105">
        <v>0</v>
      </c>
      <c r="AH46" s="231">
        <f>+Janvier!AJ46</f>
        <v>2160.3708791208792</v>
      </c>
      <c r="AI46" s="231">
        <f>+Janvier!AK46</f>
        <v>6721.1538461538466</v>
      </c>
      <c r="AJ46" s="231">
        <f>+Janvier!AL46</f>
        <v>5040.8653846153848</v>
      </c>
      <c r="AK46" s="231">
        <f>+Janvier!AM46</f>
        <v>5040.8653846153848</v>
      </c>
      <c r="AL46" s="231">
        <f>+Janvier!AN46</f>
        <v>3055.0699300699303</v>
      </c>
      <c r="AM46" s="231">
        <f>+Janvier!AO46</f>
        <v>1890.3245192307693</v>
      </c>
      <c r="AN46" s="231">
        <f>+Janvier!AP46</f>
        <v>3780.6490384615386</v>
      </c>
      <c r="AO46" s="231">
        <f>+Janvier!AQ46</f>
        <v>1890.3245192307693</v>
      </c>
      <c r="AP46" s="231">
        <f>+Janvier!AR46</f>
        <v>1890.3245192307693</v>
      </c>
      <c r="AQ46" s="231">
        <f>+Janvier!AS46</f>
        <v>3360.5769230769233</v>
      </c>
      <c r="AR46" s="16">
        <f t="shared" si="78"/>
        <v>5</v>
      </c>
      <c r="AS46" s="16">
        <f t="shared" si="79"/>
        <v>5</v>
      </c>
      <c r="AT46" s="16">
        <f t="shared" si="80"/>
        <v>5</v>
      </c>
      <c r="AU46" s="16">
        <f t="shared" si="81"/>
        <v>5</v>
      </c>
      <c r="AV46" s="16">
        <f t="shared" si="82"/>
        <v>5</v>
      </c>
      <c r="AW46" s="16">
        <f t="shared" si="83"/>
        <v>5</v>
      </c>
      <c r="AX46" s="16">
        <f t="shared" si="84"/>
        <v>5</v>
      </c>
      <c r="AY46" s="16">
        <f t="shared" si="85"/>
        <v>5</v>
      </c>
      <c r="AZ46" s="16">
        <f t="shared" si="86"/>
        <v>5</v>
      </c>
      <c r="BA46" s="17">
        <f t="shared" si="87"/>
        <v>5</v>
      </c>
    </row>
    <row r="47" spans="1:53" ht="15.6" x14ac:dyDescent="0.3">
      <c r="A47" s="199" t="s">
        <v>50</v>
      </c>
      <c r="B47" s="94">
        <v>44013</v>
      </c>
      <c r="C47" s="94">
        <v>44043</v>
      </c>
      <c r="D47" s="107">
        <v>0</v>
      </c>
      <c r="E47" s="96">
        <v>540</v>
      </c>
      <c r="F47" s="97">
        <v>0</v>
      </c>
      <c r="G47" s="95">
        <v>10200</v>
      </c>
      <c r="H47" s="96">
        <v>12320</v>
      </c>
      <c r="I47" s="105">
        <v>0</v>
      </c>
      <c r="J47" s="95">
        <v>8000</v>
      </c>
      <c r="K47" s="96">
        <v>8800</v>
      </c>
      <c r="L47" s="97">
        <v>0</v>
      </c>
      <c r="M47" s="95">
        <v>8000</v>
      </c>
      <c r="N47" s="96">
        <v>8800</v>
      </c>
      <c r="O47" s="97">
        <v>0</v>
      </c>
      <c r="P47" s="95">
        <v>5350</v>
      </c>
      <c r="Q47" s="96">
        <v>5450</v>
      </c>
      <c r="R47" s="97">
        <v>0</v>
      </c>
      <c r="S47" s="95">
        <v>2650</v>
      </c>
      <c r="T47" s="96">
        <v>3400</v>
      </c>
      <c r="U47" s="97">
        <v>0</v>
      </c>
      <c r="V47" s="95">
        <v>5500</v>
      </c>
      <c r="W47" s="96">
        <v>6470</v>
      </c>
      <c r="X47" s="97">
        <v>0</v>
      </c>
      <c r="Y47" s="95">
        <v>3200</v>
      </c>
      <c r="Z47" s="96">
        <v>3400</v>
      </c>
      <c r="AA47" s="97">
        <v>0</v>
      </c>
      <c r="AB47" s="95">
        <v>3000</v>
      </c>
      <c r="AC47" s="96">
        <v>3600</v>
      </c>
      <c r="AD47" s="97">
        <v>0</v>
      </c>
      <c r="AE47" s="95">
        <v>4750</v>
      </c>
      <c r="AF47" s="96">
        <v>6390</v>
      </c>
      <c r="AG47" s="105">
        <v>0</v>
      </c>
      <c r="AH47" s="231">
        <f>+Janvier!AJ47</f>
        <v>3766.7719780219786</v>
      </c>
      <c r="AI47" s="231">
        <f>+Janvier!AK47</f>
        <v>11718.846153846154</v>
      </c>
      <c r="AJ47" s="231">
        <f>+Janvier!AL47</f>
        <v>8789.1346153846171</v>
      </c>
      <c r="AK47" s="231">
        <f>+Janvier!AM47</f>
        <v>8789.1346153846171</v>
      </c>
      <c r="AL47" s="231">
        <f>+Janvier!AN47</f>
        <v>5326.7482517482513</v>
      </c>
      <c r="AM47" s="231">
        <f>+Janvier!AO47</f>
        <v>3295.9254807692309</v>
      </c>
      <c r="AN47" s="231">
        <f>+Janvier!AP47</f>
        <v>6591.8509615384619</v>
      </c>
      <c r="AO47" s="231">
        <f>+Janvier!AQ47</f>
        <v>3295.9254807692309</v>
      </c>
      <c r="AP47" s="231">
        <f>+Janvier!AR47</f>
        <v>3295.9254807692309</v>
      </c>
      <c r="AQ47" s="231">
        <f>+Janvier!AS47</f>
        <v>5859.4230769230771</v>
      </c>
      <c r="AR47" s="16">
        <f t="shared" si="78"/>
        <v>1</v>
      </c>
      <c r="AS47" s="16">
        <f t="shared" si="79"/>
        <v>5</v>
      </c>
      <c r="AT47" s="16">
        <f t="shared" si="80"/>
        <v>5</v>
      </c>
      <c r="AU47" s="16">
        <f t="shared" si="81"/>
        <v>5</v>
      </c>
      <c r="AV47" s="16">
        <f t="shared" si="82"/>
        <v>5</v>
      </c>
      <c r="AW47" s="16">
        <f t="shared" si="83"/>
        <v>5</v>
      </c>
      <c r="AX47" s="16">
        <f t="shared" si="84"/>
        <v>5</v>
      </c>
      <c r="AY47" s="16">
        <f t="shared" si="85"/>
        <v>5</v>
      </c>
      <c r="AZ47" s="16">
        <f t="shared" si="86"/>
        <v>5</v>
      </c>
      <c r="BA47" s="17">
        <f t="shared" si="87"/>
        <v>5</v>
      </c>
    </row>
    <row r="48" spans="1:53" ht="15.6" x14ac:dyDescent="0.3">
      <c r="A48" s="199" t="s">
        <v>56</v>
      </c>
      <c r="B48" s="94">
        <v>44013</v>
      </c>
      <c r="C48" s="94">
        <v>44043</v>
      </c>
      <c r="D48" s="107">
        <v>1500</v>
      </c>
      <c r="E48" s="96">
        <v>1740</v>
      </c>
      <c r="F48" s="97">
        <v>0</v>
      </c>
      <c r="G48" s="95">
        <v>3700</v>
      </c>
      <c r="H48" s="96">
        <v>5320</v>
      </c>
      <c r="I48" s="105">
        <v>0</v>
      </c>
      <c r="J48" s="95">
        <v>2940</v>
      </c>
      <c r="K48" s="96">
        <v>3940</v>
      </c>
      <c r="L48" s="97">
        <v>0</v>
      </c>
      <c r="M48" s="95">
        <v>3048</v>
      </c>
      <c r="N48" s="96">
        <v>3944</v>
      </c>
      <c r="O48" s="97">
        <v>0</v>
      </c>
      <c r="P48" s="95">
        <v>2000</v>
      </c>
      <c r="Q48" s="96">
        <v>2414</v>
      </c>
      <c r="R48" s="97">
        <v>0</v>
      </c>
      <c r="S48" s="95">
        <v>1000</v>
      </c>
      <c r="T48" s="96">
        <v>1480</v>
      </c>
      <c r="U48" s="97">
        <v>0</v>
      </c>
      <c r="V48" s="95">
        <v>1830</v>
      </c>
      <c r="W48" s="96">
        <v>3010</v>
      </c>
      <c r="X48" s="97">
        <v>0</v>
      </c>
      <c r="Y48" s="95">
        <v>1100</v>
      </c>
      <c r="Z48" s="96">
        <v>1510</v>
      </c>
      <c r="AA48" s="97">
        <v>0</v>
      </c>
      <c r="AB48" s="95">
        <v>1150</v>
      </c>
      <c r="AC48" s="96">
        <v>1500</v>
      </c>
      <c r="AD48" s="97">
        <v>0</v>
      </c>
      <c r="AE48" s="95">
        <v>1660</v>
      </c>
      <c r="AF48" s="96">
        <v>2530</v>
      </c>
      <c r="AG48" s="105">
        <v>0</v>
      </c>
      <c r="AH48" s="231">
        <f>+Janvier!AJ48</f>
        <v>1604.6703296703297</v>
      </c>
      <c r="AI48" s="231">
        <f>+Janvier!AK48</f>
        <v>4992.3076923076924</v>
      </c>
      <c r="AJ48" s="231">
        <f>+Janvier!AL48</f>
        <v>3744.2307692307691</v>
      </c>
      <c r="AK48" s="231">
        <f>+Janvier!AM48</f>
        <v>3744.2307692307691</v>
      </c>
      <c r="AL48" s="231">
        <f>+Janvier!AN48</f>
        <v>2269.2307692307695</v>
      </c>
      <c r="AM48" s="231">
        <f>+Janvier!AO48</f>
        <v>1404.0865384615383</v>
      </c>
      <c r="AN48" s="231">
        <f>+Janvier!AP48</f>
        <v>2808.1730769230767</v>
      </c>
      <c r="AO48" s="231">
        <f>+Janvier!AQ48</f>
        <v>1404.0865384615383</v>
      </c>
      <c r="AP48" s="231">
        <f>+Janvier!AR48</f>
        <v>1404.0865384615383</v>
      </c>
      <c r="AQ48" s="231">
        <f>+Janvier!AS48</f>
        <v>2496.1538461538462</v>
      </c>
      <c r="AR48" s="16">
        <f t="shared" si="78"/>
        <v>5</v>
      </c>
      <c r="AS48" s="16">
        <f t="shared" si="79"/>
        <v>5</v>
      </c>
      <c r="AT48" s="16">
        <f t="shared" si="80"/>
        <v>5</v>
      </c>
      <c r="AU48" s="16">
        <f t="shared" si="81"/>
        <v>5</v>
      </c>
      <c r="AV48" s="16">
        <f t="shared" si="82"/>
        <v>5</v>
      </c>
      <c r="AW48" s="16">
        <f t="shared" si="83"/>
        <v>5</v>
      </c>
      <c r="AX48" s="16">
        <f t="shared" si="84"/>
        <v>5</v>
      </c>
      <c r="AY48" s="16">
        <f t="shared" si="85"/>
        <v>5</v>
      </c>
      <c r="AZ48" s="16">
        <f t="shared" si="86"/>
        <v>5</v>
      </c>
      <c r="BA48" s="17">
        <f t="shared" si="87"/>
        <v>5</v>
      </c>
    </row>
    <row r="49" spans="1:53" ht="15.6" x14ac:dyDescent="0.3">
      <c r="A49" s="199" t="s">
        <v>51</v>
      </c>
      <c r="B49" s="94">
        <v>44013</v>
      </c>
      <c r="C49" s="94">
        <v>44043</v>
      </c>
      <c r="D49" s="107">
        <v>0</v>
      </c>
      <c r="E49" s="96">
        <v>200</v>
      </c>
      <c r="F49" s="97">
        <v>0</v>
      </c>
      <c r="G49" s="95">
        <v>2800</v>
      </c>
      <c r="H49" s="96">
        <v>3280</v>
      </c>
      <c r="I49" s="105">
        <v>0</v>
      </c>
      <c r="J49" s="95">
        <v>2400</v>
      </c>
      <c r="K49" s="96">
        <v>2500</v>
      </c>
      <c r="L49" s="97">
        <v>0</v>
      </c>
      <c r="M49" s="95">
        <v>2100</v>
      </c>
      <c r="N49" s="96">
        <v>2468</v>
      </c>
      <c r="O49" s="97">
        <v>0</v>
      </c>
      <c r="P49" s="95">
        <v>1500</v>
      </c>
      <c r="Q49" s="96">
        <v>1550</v>
      </c>
      <c r="R49" s="97">
        <v>0</v>
      </c>
      <c r="S49" s="95">
        <v>700</v>
      </c>
      <c r="T49" s="96">
        <v>950</v>
      </c>
      <c r="U49" s="97">
        <v>0</v>
      </c>
      <c r="V49" s="95">
        <v>1400</v>
      </c>
      <c r="W49" s="96">
        <v>1900</v>
      </c>
      <c r="X49" s="97">
        <v>0</v>
      </c>
      <c r="Y49" s="95">
        <v>850</v>
      </c>
      <c r="Z49" s="96">
        <v>950</v>
      </c>
      <c r="AA49" s="97">
        <v>0</v>
      </c>
      <c r="AB49" s="95">
        <v>800</v>
      </c>
      <c r="AC49" s="96">
        <v>910</v>
      </c>
      <c r="AD49" s="97">
        <v>0</v>
      </c>
      <c r="AE49" s="95">
        <v>1000</v>
      </c>
      <c r="AF49" s="96">
        <v>1610</v>
      </c>
      <c r="AG49" s="105">
        <v>0</v>
      </c>
      <c r="AH49" s="231">
        <f>+Janvier!AJ49</f>
        <v>1032.2802197802198</v>
      </c>
      <c r="AI49" s="231">
        <f>+Janvier!AK49</f>
        <v>3211.5384615384614</v>
      </c>
      <c r="AJ49" s="231">
        <f>+Janvier!AL49</f>
        <v>2408.6538461538462</v>
      </c>
      <c r="AK49" s="231">
        <f>+Janvier!AM49</f>
        <v>2408.6538461538462</v>
      </c>
      <c r="AL49" s="231">
        <f>+Janvier!AN49</f>
        <v>1459.7902097902099</v>
      </c>
      <c r="AM49" s="231">
        <f>+Janvier!AO49</f>
        <v>903.24519230769226</v>
      </c>
      <c r="AN49" s="231">
        <f>+Janvier!AP49</f>
        <v>1806.4903846153845</v>
      </c>
      <c r="AO49" s="231">
        <f>+Janvier!AQ49</f>
        <v>903.24519230769226</v>
      </c>
      <c r="AP49" s="231">
        <f>+Janvier!AR49</f>
        <v>903.24519230769226</v>
      </c>
      <c r="AQ49" s="231">
        <f>+Janvier!AS49</f>
        <v>1605.7692307692307</v>
      </c>
      <c r="AR49" s="16">
        <f t="shared" si="78"/>
        <v>1</v>
      </c>
      <c r="AS49" s="16">
        <f t="shared" si="79"/>
        <v>5</v>
      </c>
      <c r="AT49" s="16">
        <f t="shared" si="80"/>
        <v>5</v>
      </c>
      <c r="AU49" s="16">
        <f t="shared" si="81"/>
        <v>5</v>
      </c>
      <c r="AV49" s="16">
        <f t="shared" si="82"/>
        <v>5</v>
      </c>
      <c r="AW49" s="16">
        <f t="shared" si="83"/>
        <v>5</v>
      </c>
      <c r="AX49" s="16">
        <f t="shared" si="84"/>
        <v>5</v>
      </c>
      <c r="AY49" s="16">
        <f t="shared" si="85"/>
        <v>5</v>
      </c>
      <c r="AZ49" s="16">
        <f t="shared" si="86"/>
        <v>5</v>
      </c>
      <c r="BA49" s="17">
        <f t="shared" si="87"/>
        <v>5</v>
      </c>
    </row>
    <row r="50" spans="1:53" ht="15.6" x14ac:dyDescent="0.3">
      <c r="A50" s="199" t="s">
        <v>52</v>
      </c>
      <c r="B50" s="94">
        <v>44013</v>
      </c>
      <c r="C50" s="94">
        <v>44043</v>
      </c>
      <c r="D50" s="107">
        <v>2000</v>
      </c>
      <c r="E50" s="96">
        <v>3000</v>
      </c>
      <c r="F50" s="97">
        <v>0</v>
      </c>
      <c r="G50" s="95">
        <v>5600</v>
      </c>
      <c r="H50" s="96">
        <v>9300</v>
      </c>
      <c r="I50" s="105">
        <v>0</v>
      </c>
      <c r="J50" s="95">
        <v>4300</v>
      </c>
      <c r="K50" s="96">
        <v>7000</v>
      </c>
      <c r="L50" s="97">
        <v>0</v>
      </c>
      <c r="M50" s="95">
        <v>4400</v>
      </c>
      <c r="N50" s="96">
        <v>7000</v>
      </c>
      <c r="O50" s="97">
        <v>0</v>
      </c>
      <c r="P50" s="95">
        <v>2600</v>
      </c>
      <c r="Q50" s="96">
        <v>4300</v>
      </c>
      <c r="R50" s="97">
        <v>0</v>
      </c>
      <c r="S50" s="95">
        <v>1500</v>
      </c>
      <c r="T50" s="96">
        <v>2700</v>
      </c>
      <c r="U50" s="97">
        <v>0</v>
      </c>
      <c r="V50" s="95">
        <v>2300</v>
      </c>
      <c r="W50" s="96">
        <v>5260</v>
      </c>
      <c r="X50" s="97">
        <v>0</v>
      </c>
      <c r="Y50" s="95">
        <v>1700</v>
      </c>
      <c r="Z50" s="96">
        <v>2600</v>
      </c>
      <c r="AA50" s="97">
        <v>0</v>
      </c>
      <c r="AB50" s="95">
        <v>1800</v>
      </c>
      <c r="AC50" s="96">
        <v>2640</v>
      </c>
      <c r="AD50" s="97">
        <v>0</v>
      </c>
      <c r="AE50" s="95">
        <v>2400</v>
      </c>
      <c r="AF50" s="96">
        <v>4580</v>
      </c>
      <c r="AG50" s="105">
        <v>0</v>
      </c>
      <c r="AH50" s="231">
        <f>+Janvier!AJ50</f>
        <v>2981.6208791208792</v>
      </c>
      <c r="AI50" s="231">
        <f>+Janvier!AK50</f>
        <v>9276.1538461538476</v>
      </c>
      <c r="AJ50" s="231">
        <f>+Janvier!AL50</f>
        <v>6957.1153846153857</v>
      </c>
      <c r="AK50" s="231">
        <f>+Janvier!AM50</f>
        <v>6957.1153846153857</v>
      </c>
      <c r="AL50" s="231">
        <f>+Janvier!AN50</f>
        <v>4216.4335664335667</v>
      </c>
      <c r="AM50" s="231">
        <f>+Janvier!AO50</f>
        <v>2608.9182692307691</v>
      </c>
      <c r="AN50" s="231">
        <f>+Janvier!AP50</f>
        <v>5217.8365384615381</v>
      </c>
      <c r="AO50" s="231">
        <f>+Janvier!AQ50</f>
        <v>2608.9182692307691</v>
      </c>
      <c r="AP50" s="231">
        <f>+Janvier!AR50</f>
        <v>2608.9182692307691</v>
      </c>
      <c r="AQ50" s="231">
        <f>+Janvier!AS50</f>
        <v>4638.0769230769238</v>
      </c>
      <c r="AR50" s="16">
        <f t="shared" si="78"/>
        <v>5</v>
      </c>
      <c r="AS50" s="16">
        <f t="shared" si="79"/>
        <v>5</v>
      </c>
      <c r="AT50" s="16">
        <f t="shared" si="80"/>
        <v>5</v>
      </c>
      <c r="AU50" s="16">
        <f t="shared" si="81"/>
        <v>5</v>
      </c>
      <c r="AV50" s="16">
        <f t="shared" si="82"/>
        <v>5</v>
      </c>
      <c r="AW50" s="16">
        <f t="shared" si="83"/>
        <v>5</v>
      </c>
      <c r="AX50" s="16">
        <f t="shared" si="84"/>
        <v>5</v>
      </c>
      <c r="AY50" s="16">
        <f t="shared" si="85"/>
        <v>5</v>
      </c>
      <c r="AZ50" s="16">
        <f t="shared" si="86"/>
        <v>5</v>
      </c>
      <c r="BA50" s="17">
        <f t="shared" si="87"/>
        <v>5</v>
      </c>
    </row>
    <row r="51" spans="1:53" ht="15.6" x14ac:dyDescent="0.3">
      <c r="A51" s="199" t="s">
        <v>53</v>
      </c>
      <c r="B51" s="94">
        <v>44013</v>
      </c>
      <c r="C51" s="94">
        <v>44043</v>
      </c>
      <c r="D51" s="107">
        <v>140</v>
      </c>
      <c r="E51" s="96">
        <v>180</v>
      </c>
      <c r="F51" s="97">
        <v>0</v>
      </c>
      <c r="G51" s="95">
        <v>410</v>
      </c>
      <c r="H51" s="96">
        <v>530</v>
      </c>
      <c r="I51" s="105">
        <v>0</v>
      </c>
      <c r="J51" s="95">
        <v>310</v>
      </c>
      <c r="K51" s="96">
        <v>400</v>
      </c>
      <c r="L51" s="97">
        <v>0</v>
      </c>
      <c r="M51" s="95">
        <v>268</v>
      </c>
      <c r="N51" s="96">
        <v>392</v>
      </c>
      <c r="O51" s="97">
        <v>0</v>
      </c>
      <c r="P51" s="95">
        <v>190</v>
      </c>
      <c r="Q51" s="96">
        <v>240</v>
      </c>
      <c r="R51" s="97">
        <v>0</v>
      </c>
      <c r="S51" s="95">
        <v>130</v>
      </c>
      <c r="T51" s="96">
        <v>150</v>
      </c>
      <c r="U51" s="97">
        <v>0</v>
      </c>
      <c r="V51" s="95">
        <v>130</v>
      </c>
      <c r="W51" s="96">
        <v>300</v>
      </c>
      <c r="X51" s="97">
        <v>0</v>
      </c>
      <c r="Y51" s="95">
        <v>50</v>
      </c>
      <c r="Z51" s="96">
        <v>150</v>
      </c>
      <c r="AA51" s="97">
        <v>0</v>
      </c>
      <c r="AB51" s="95">
        <v>130</v>
      </c>
      <c r="AC51" s="96">
        <v>150</v>
      </c>
      <c r="AD51" s="97">
        <v>0</v>
      </c>
      <c r="AE51" s="95">
        <v>240</v>
      </c>
      <c r="AF51" s="96">
        <v>270</v>
      </c>
      <c r="AG51" s="105">
        <v>0</v>
      </c>
      <c r="AH51" s="231">
        <f>+Janvier!AJ51</f>
        <v>168.87362637362639</v>
      </c>
      <c r="AI51" s="231">
        <f>+Janvier!AK51</f>
        <v>525.38461538461547</v>
      </c>
      <c r="AJ51" s="231">
        <f>+Janvier!AL51</f>
        <v>394.0384615384616</v>
      </c>
      <c r="AK51" s="231">
        <f>+Janvier!AM51</f>
        <v>394.0384615384616</v>
      </c>
      <c r="AL51" s="231">
        <f>+Janvier!AN51</f>
        <v>238.81118881118883</v>
      </c>
      <c r="AM51" s="231">
        <f>+Janvier!AO51</f>
        <v>147.76442307692309</v>
      </c>
      <c r="AN51" s="231">
        <f>+Janvier!AP51</f>
        <v>295.52884615384619</v>
      </c>
      <c r="AO51" s="231">
        <f>+Janvier!AQ51</f>
        <v>147.76442307692309</v>
      </c>
      <c r="AP51" s="231">
        <f>+Janvier!AR51</f>
        <v>147.76442307692309</v>
      </c>
      <c r="AQ51" s="231">
        <f>+Janvier!AS51</f>
        <v>262.69230769230774</v>
      </c>
      <c r="AR51" s="16">
        <f t="shared" si="78"/>
        <v>5</v>
      </c>
      <c r="AS51" s="16">
        <f t="shared" si="79"/>
        <v>5</v>
      </c>
      <c r="AT51" s="16">
        <f t="shared" si="80"/>
        <v>5</v>
      </c>
      <c r="AU51" s="16">
        <f t="shared" si="81"/>
        <v>5</v>
      </c>
      <c r="AV51" s="16">
        <f t="shared" si="82"/>
        <v>5</v>
      </c>
      <c r="AW51" s="16">
        <f t="shared" si="83"/>
        <v>5</v>
      </c>
      <c r="AX51" s="16">
        <f t="shared" si="84"/>
        <v>5</v>
      </c>
      <c r="AY51" s="16">
        <f t="shared" si="85"/>
        <v>5</v>
      </c>
      <c r="AZ51" s="16">
        <f t="shared" si="86"/>
        <v>5</v>
      </c>
      <c r="BA51" s="17">
        <f t="shared" si="87"/>
        <v>5</v>
      </c>
    </row>
    <row r="52" spans="1:53" ht="15.6" x14ac:dyDescent="0.3">
      <c r="A52" s="199" t="s">
        <v>54</v>
      </c>
      <c r="B52" s="94">
        <v>44013</v>
      </c>
      <c r="C52" s="94">
        <v>44043</v>
      </c>
      <c r="D52" s="107">
        <v>960</v>
      </c>
      <c r="E52" s="96">
        <v>1100</v>
      </c>
      <c r="F52" s="97">
        <v>0</v>
      </c>
      <c r="G52" s="95">
        <v>2300</v>
      </c>
      <c r="H52" s="96">
        <v>3260</v>
      </c>
      <c r="I52" s="105">
        <v>0</v>
      </c>
      <c r="J52" s="95">
        <v>2100</v>
      </c>
      <c r="K52" s="96">
        <v>2570</v>
      </c>
      <c r="L52" s="97">
        <v>0</v>
      </c>
      <c r="M52" s="95">
        <v>1900</v>
      </c>
      <c r="N52" s="96">
        <v>2396</v>
      </c>
      <c r="O52" s="97">
        <v>0</v>
      </c>
      <c r="P52" s="95">
        <v>1500</v>
      </c>
      <c r="Q52" s="96">
        <v>1500</v>
      </c>
      <c r="R52" s="97">
        <v>0</v>
      </c>
      <c r="S52" s="95">
        <v>770</v>
      </c>
      <c r="T52" s="96">
        <v>900</v>
      </c>
      <c r="U52" s="97">
        <v>0</v>
      </c>
      <c r="V52" s="95">
        <v>1100</v>
      </c>
      <c r="W52" s="96">
        <v>1830</v>
      </c>
      <c r="X52" s="97">
        <v>0</v>
      </c>
      <c r="Y52" s="95">
        <v>720</v>
      </c>
      <c r="Z52" s="96">
        <v>940</v>
      </c>
      <c r="AA52" s="97">
        <v>0</v>
      </c>
      <c r="AB52" s="95">
        <v>550</v>
      </c>
      <c r="AC52" s="96">
        <v>830</v>
      </c>
      <c r="AD52" s="97">
        <v>0</v>
      </c>
      <c r="AE52" s="95">
        <v>1370</v>
      </c>
      <c r="AF52" s="96">
        <v>1700</v>
      </c>
      <c r="AG52" s="105">
        <v>0</v>
      </c>
      <c r="AH52" s="231">
        <f>+Janvier!AJ52</f>
        <v>1001.7445054945053</v>
      </c>
      <c r="AI52" s="231">
        <f>+Janvier!AK52</f>
        <v>3116.5384615384614</v>
      </c>
      <c r="AJ52" s="231">
        <f>+Janvier!AL52</f>
        <v>2337.4038461538462</v>
      </c>
      <c r="AK52" s="231">
        <f>+Janvier!AM52</f>
        <v>2337.4038461538462</v>
      </c>
      <c r="AL52" s="231">
        <f>+Janvier!AN52</f>
        <v>1416.6083916083917</v>
      </c>
      <c r="AM52" s="231">
        <f>+Janvier!AO52</f>
        <v>876.52644230769226</v>
      </c>
      <c r="AN52" s="231">
        <f>+Janvier!AP52</f>
        <v>1753.0528846153845</v>
      </c>
      <c r="AO52" s="231">
        <f>+Janvier!AQ52</f>
        <v>876.52644230769226</v>
      </c>
      <c r="AP52" s="231">
        <f>+Janvier!AR52</f>
        <v>876.52644230769226</v>
      </c>
      <c r="AQ52" s="231">
        <f>+Janvier!AS52</f>
        <v>1558.2692307692307</v>
      </c>
      <c r="AR52" s="16">
        <f t="shared" si="78"/>
        <v>5</v>
      </c>
      <c r="AS52" s="16">
        <f t="shared" si="79"/>
        <v>5</v>
      </c>
      <c r="AT52" s="16">
        <f t="shared" si="80"/>
        <v>5</v>
      </c>
      <c r="AU52" s="16">
        <f t="shared" si="81"/>
        <v>5</v>
      </c>
      <c r="AV52" s="16">
        <f t="shared" si="82"/>
        <v>5</v>
      </c>
      <c r="AW52" s="16">
        <f t="shared" si="83"/>
        <v>5</v>
      </c>
      <c r="AX52" s="16">
        <f t="shared" si="84"/>
        <v>5</v>
      </c>
      <c r="AY52" s="16">
        <f t="shared" si="85"/>
        <v>5</v>
      </c>
      <c r="AZ52" s="16">
        <f t="shared" si="86"/>
        <v>5</v>
      </c>
      <c r="BA52" s="17">
        <f t="shared" si="87"/>
        <v>5</v>
      </c>
    </row>
    <row r="53" spans="1:53" ht="16.2" thickBot="1" x14ac:dyDescent="0.35">
      <c r="A53" s="200" t="s">
        <v>55</v>
      </c>
      <c r="B53" s="255">
        <v>44013</v>
      </c>
      <c r="C53" s="255">
        <v>44043</v>
      </c>
      <c r="D53" s="249">
        <v>180</v>
      </c>
      <c r="E53" s="260">
        <v>270</v>
      </c>
      <c r="F53" s="261">
        <v>0</v>
      </c>
      <c r="G53" s="111">
        <v>340</v>
      </c>
      <c r="H53" s="109">
        <v>840</v>
      </c>
      <c r="I53" s="112">
        <v>0</v>
      </c>
      <c r="J53" s="111">
        <v>240</v>
      </c>
      <c r="K53" s="109">
        <v>650</v>
      </c>
      <c r="L53" s="110">
        <v>0</v>
      </c>
      <c r="M53" s="111">
        <v>320</v>
      </c>
      <c r="N53" s="109">
        <v>640</v>
      </c>
      <c r="O53" s="110">
        <v>0</v>
      </c>
      <c r="P53" s="111">
        <v>50</v>
      </c>
      <c r="Q53" s="109">
        <v>380</v>
      </c>
      <c r="R53" s="110">
        <v>0</v>
      </c>
      <c r="S53" s="111">
        <v>60</v>
      </c>
      <c r="T53" s="109">
        <v>240</v>
      </c>
      <c r="U53" s="110">
        <v>0</v>
      </c>
      <c r="V53" s="111">
        <v>100</v>
      </c>
      <c r="W53" s="109">
        <v>480</v>
      </c>
      <c r="X53" s="110">
        <v>0</v>
      </c>
      <c r="Y53" s="111">
        <v>200</v>
      </c>
      <c r="Z53" s="109">
        <v>250</v>
      </c>
      <c r="AA53" s="110">
        <v>0</v>
      </c>
      <c r="AB53" s="111">
        <v>140</v>
      </c>
      <c r="AC53" s="109">
        <v>240</v>
      </c>
      <c r="AD53" s="110">
        <v>0</v>
      </c>
      <c r="AE53" s="111">
        <v>70</v>
      </c>
      <c r="AF53" s="109">
        <v>420</v>
      </c>
      <c r="AG53" s="112">
        <v>0</v>
      </c>
      <c r="AH53" s="231">
        <f>+Janvier!AJ53</f>
        <v>269.25824175824175</v>
      </c>
      <c r="AI53" s="231">
        <f>+Janvier!AK53</f>
        <v>837.69230769230774</v>
      </c>
      <c r="AJ53" s="231">
        <f>+Janvier!AL53</f>
        <v>628.26923076923083</v>
      </c>
      <c r="AK53" s="231">
        <f>+Janvier!AM53</f>
        <v>628.26923076923083</v>
      </c>
      <c r="AL53" s="231">
        <f>+Janvier!AN53</f>
        <v>380.76923076923083</v>
      </c>
      <c r="AM53" s="231">
        <f>+Janvier!AO53</f>
        <v>235.60096153846155</v>
      </c>
      <c r="AN53" s="231">
        <f>+Janvier!AP53</f>
        <v>471.20192307692309</v>
      </c>
      <c r="AO53" s="231">
        <f>+Janvier!AQ53</f>
        <v>235.60096153846155</v>
      </c>
      <c r="AP53" s="231">
        <f>+Janvier!AR53</f>
        <v>235.60096153846155</v>
      </c>
      <c r="AQ53" s="231">
        <f>+Janvier!AS53</f>
        <v>418.84615384615387</v>
      </c>
      <c r="AR53" s="32">
        <f t="shared" si="78"/>
        <v>5</v>
      </c>
      <c r="AS53" s="32">
        <f t="shared" si="79"/>
        <v>5</v>
      </c>
      <c r="AT53" s="32">
        <f t="shared" si="80"/>
        <v>5</v>
      </c>
      <c r="AU53" s="32">
        <f t="shared" si="81"/>
        <v>5</v>
      </c>
      <c r="AV53" s="32">
        <f t="shared" si="82"/>
        <v>5</v>
      </c>
      <c r="AW53" s="32">
        <f t="shared" si="83"/>
        <v>5</v>
      </c>
      <c r="AX53" s="32">
        <f t="shared" si="84"/>
        <v>5</v>
      </c>
      <c r="AY53" s="32">
        <f t="shared" si="85"/>
        <v>5</v>
      </c>
      <c r="AZ53" s="32">
        <f t="shared" si="86"/>
        <v>5</v>
      </c>
      <c r="BA53" s="33">
        <f t="shared" si="87"/>
        <v>5</v>
      </c>
    </row>
    <row r="54" spans="1:53" ht="15.6" x14ac:dyDescent="0.3">
      <c r="A54" s="201" t="s">
        <v>146</v>
      </c>
      <c r="B54" s="256">
        <v>44013</v>
      </c>
      <c r="C54" s="259">
        <v>44043</v>
      </c>
      <c r="D54" s="125">
        <v>0</v>
      </c>
      <c r="E54" s="123">
        <v>50300</v>
      </c>
      <c r="F54" s="124">
        <v>0</v>
      </c>
      <c r="G54" s="125">
        <v>0</v>
      </c>
      <c r="H54" s="123">
        <v>180880</v>
      </c>
      <c r="I54" s="124">
        <v>0</v>
      </c>
      <c r="J54" s="125">
        <v>0</v>
      </c>
      <c r="K54" s="123">
        <v>121450</v>
      </c>
      <c r="L54" s="124">
        <v>0</v>
      </c>
      <c r="M54" s="125">
        <v>0</v>
      </c>
      <c r="N54" s="123">
        <v>123904</v>
      </c>
      <c r="O54" s="124">
        <v>0</v>
      </c>
      <c r="P54" s="125">
        <v>0</v>
      </c>
      <c r="Q54" s="123">
        <v>73050</v>
      </c>
      <c r="R54" s="124">
        <v>0</v>
      </c>
      <c r="S54" s="125">
        <v>0</v>
      </c>
      <c r="T54" s="123">
        <v>39780</v>
      </c>
      <c r="U54" s="124">
        <v>0</v>
      </c>
      <c r="V54" s="125">
        <v>0</v>
      </c>
      <c r="W54" s="123">
        <v>95900</v>
      </c>
      <c r="X54" s="124">
        <v>0</v>
      </c>
      <c r="Y54" s="125">
        <v>0</v>
      </c>
      <c r="Z54" s="123">
        <v>45450</v>
      </c>
      <c r="AA54" s="124">
        <v>0</v>
      </c>
      <c r="AB54" s="125">
        <v>0</v>
      </c>
      <c r="AC54" s="123">
        <v>44870</v>
      </c>
      <c r="AD54" s="124">
        <v>0</v>
      </c>
      <c r="AE54" s="125">
        <v>0</v>
      </c>
      <c r="AF54" s="123">
        <v>87320</v>
      </c>
      <c r="AG54" s="124">
        <v>0</v>
      </c>
      <c r="AH54" s="265">
        <f>+Janvier!AJ54</f>
        <v>63310.376250000001</v>
      </c>
      <c r="AI54" s="231">
        <f>+Janvier!AK54</f>
        <v>217816.00961538462</v>
      </c>
      <c r="AJ54" s="231">
        <f>+Janvier!AL54</f>
        <v>145065.46240384618</v>
      </c>
      <c r="AK54" s="231">
        <f>+Janvier!AM54</f>
        <v>145065.46240384618</v>
      </c>
      <c r="AL54" s="231">
        <f>+Janvier!AN54</f>
        <v>91482.724038461543</v>
      </c>
      <c r="AM54" s="231">
        <f>+Janvier!AO54</f>
        <v>54454.002403846156</v>
      </c>
      <c r="AN54" s="231">
        <f>+Janvier!AP54</f>
        <v>108908.00480769231</v>
      </c>
      <c r="AO54" s="231">
        <f>+Janvier!AQ54</f>
        <v>54454.002403846156</v>
      </c>
      <c r="AP54" s="231">
        <f>+Janvier!AR54</f>
        <v>54454.002403846156</v>
      </c>
      <c r="AQ54" s="231">
        <f>+Janvier!AS54</f>
        <v>98286.038653846175</v>
      </c>
      <c r="AR54" s="16">
        <f>ROUND(E54/(AH54/15),0)</f>
        <v>12</v>
      </c>
      <c r="AS54" s="16">
        <f t="shared" ref="AS54" si="88">ROUND(H54/(AI54/15),0)</f>
        <v>12</v>
      </c>
      <c r="AT54" s="16">
        <f t="shared" ref="AT54" si="89">ROUND(K54/(AJ54/15),0)</f>
        <v>13</v>
      </c>
      <c r="AU54" s="16">
        <f t="shared" ref="AU54" si="90">ROUND(N54/(AK54/15),0)</f>
        <v>13</v>
      </c>
      <c r="AV54" s="16">
        <f t="shared" ref="AV54" si="91">ROUND(Q54/(AL54/15),0)</f>
        <v>12</v>
      </c>
      <c r="AW54" s="16">
        <f t="shared" ref="AW54" si="92">ROUND(T54/(AM54/15),0)</f>
        <v>11</v>
      </c>
      <c r="AX54" s="16">
        <f t="shared" ref="AX54" si="93">ROUND(W54/(AN54/15),0)</f>
        <v>13</v>
      </c>
      <c r="AY54" s="16">
        <f t="shared" ref="AY54" si="94">ROUND(Z54/(AO54/15),0)</f>
        <v>13</v>
      </c>
      <c r="AZ54" s="16">
        <f t="shared" ref="AZ54" si="95">ROUND(AC54/(AP54/15),0)</f>
        <v>12</v>
      </c>
      <c r="BA54" s="17">
        <f t="shared" ref="BA54" si="96">ROUND(AF54/(AQ54/15),0)</f>
        <v>13</v>
      </c>
    </row>
    <row r="55" spans="1:53" ht="15.6" x14ac:dyDescent="0.3">
      <c r="A55" s="199" t="s">
        <v>21</v>
      </c>
      <c r="B55" s="257">
        <v>44013</v>
      </c>
      <c r="C55" s="233">
        <v>44043</v>
      </c>
      <c r="D55" s="95">
        <v>1040</v>
      </c>
      <c r="E55" s="96">
        <v>600</v>
      </c>
      <c r="F55" s="97">
        <v>0</v>
      </c>
      <c r="G55" s="95">
        <v>2540</v>
      </c>
      <c r="H55" s="96">
        <v>1500</v>
      </c>
      <c r="I55" s="97">
        <v>0</v>
      </c>
      <c r="J55" s="95">
        <v>2170</v>
      </c>
      <c r="K55" s="96">
        <v>750</v>
      </c>
      <c r="L55" s="97">
        <v>0</v>
      </c>
      <c r="M55" s="95">
        <v>2136</v>
      </c>
      <c r="N55" s="96">
        <v>820</v>
      </c>
      <c r="O55" s="97">
        <v>0</v>
      </c>
      <c r="P55" s="95">
        <v>1500</v>
      </c>
      <c r="Q55" s="96">
        <v>565</v>
      </c>
      <c r="R55" s="97">
        <v>0</v>
      </c>
      <c r="S55" s="95">
        <v>810</v>
      </c>
      <c r="T55" s="96">
        <v>250</v>
      </c>
      <c r="U55" s="97">
        <v>0</v>
      </c>
      <c r="V55" s="95">
        <v>1200</v>
      </c>
      <c r="W55" s="96">
        <v>1110</v>
      </c>
      <c r="X55" s="97">
        <v>0</v>
      </c>
      <c r="Y55" s="95">
        <v>710</v>
      </c>
      <c r="Z55" s="96">
        <v>290</v>
      </c>
      <c r="AA55" s="97">
        <v>0</v>
      </c>
      <c r="AB55" s="95">
        <v>1000</v>
      </c>
      <c r="AC55" s="96">
        <v>320</v>
      </c>
      <c r="AD55" s="97">
        <v>0</v>
      </c>
      <c r="AE55" s="95">
        <v>660</v>
      </c>
      <c r="AF55" s="96">
        <v>1720</v>
      </c>
      <c r="AG55" s="97">
        <v>0</v>
      </c>
      <c r="AH55" s="265">
        <f>+Janvier!AJ55</f>
        <v>1099.4093406593406</v>
      </c>
      <c r="AI55" s="231">
        <f>+Janvier!AK55</f>
        <v>3420.3846153846152</v>
      </c>
      <c r="AJ55" s="231">
        <f>+Janvier!AL55</f>
        <v>2565.2884615384614</v>
      </c>
      <c r="AK55" s="231">
        <f>+Janvier!AM55</f>
        <v>2565.2884615384614</v>
      </c>
      <c r="AL55" s="231">
        <f>+Janvier!AN55</f>
        <v>1554.7202797202797</v>
      </c>
      <c r="AM55" s="231">
        <f>+Janvier!AO55</f>
        <v>961.98317307692309</v>
      </c>
      <c r="AN55" s="231">
        <f>+Janvier!AP55</f>
        <v>1923.9663461538462</v>
      </c>
      <c r="AO55" s="231">
        <f>+Janvier!AQ55</f>
        <v>961.98317307692309</v>
      </c>
      <c r="AP55" s="231">
        <f>+Janvier!AR55</f>
        <v>961.98317307692309</v>
      </c>
      <c r="AQ55" s="231">
        <f>+Janvier!AS55</f>
        <v>1710.1923076923076</v>
      </c>
      <c r="AR55" s="16">
        <f t="shared" ref="AR55:AR67" si="97">ROUND(E55/(AH55/5),0)</f>
        <v>3</v>
      </c>
      <c r="AS55" s="16">
        <f t="shared" ref="AS55:AS67" si="98">ROUND(H55/(AI55/5),0)</f>
        <v>2</v>
      </c>
      <c r="AT55" s="16">
        <f t="shared" ref="AT55:AT67" si="99">ROUND(K55/(AJ55/5),0)</f>
        <v>1</v>
      </c>
      <c r="AU55" s="16">
        <f t="shared" ref="AU55:AU67" si="100">ROUND(N55/(AK55/5),0)</f>
        <v>2</v>
      </c>
      <c r="AV55" s="16">
        <f t="shared" ref="AV55:AV67" si="101">ROUND(Q55/(AL55/5),0)</f>
        <v>2</v>
      </c>
      <c r="AW55" s="16">
        <f t="shared" ref="AW55:AW67" si="102">ROUND(T55/(AM55/5),0)</f>
        <v>1</v>
      </c>
      <c r="AX55" s="16">
        <f t="shared" ref="AX55:AX67" si="103">ROUND(W55/(AN55/5),0)</f>
        <v>3</v>
      </c>
      <c r="AY55" s="16">
        <f t="shared" ref="AY55:AY67" si="104">ROUND(Z55/(AO55/5),0)</f>
        <v>2</v>
      </c>
      <c r="AZ55" s="16">
        <f t="shared" ref="AZ55:AZ67" si="105">ROUND(AC55/(AP55/5),0)</f>
        <v>2</v>
      </c>
      <c r="BA55" s="17">
        <f t="shared" ref="BA55:BA67" si="106">ROUND(AF55/(AQ55/5),0)</f>
        <v>5</v>
      </c>
    </row>
    <row r="56" spans="1:53" ht="15.6" x14ac:dyDescent="0.3">
      <c r="A56" s="199" t="s">
        <v>22</v>
      </c>
      <c r="B56" s="257">
        <v>44013</v>
      </c>
      <c r="C56" s="233">
        <v>44043</v>
      </c>
      <c r="D56" s="95">
        <v>0</v>
      </c>
      <c r="E56" s="96">
        <v>120</v>
      </c>
      <c r="F56" s="97">
        <v>0</v>
      </c>
      <c r="G56" s="95">
        <v>0</v>
      </c>
      <c r="H56" s="96">
        <v>880</v>
      </c>
      <c r="I56" s="97">
        <v>0</v>
      </c>
      <c r="J56" s="95">
        <v>0</v>
      </c>
      <c r="K56" s="96">
        <v>440</v>
      </c>
      <c r="L56" s="97">
        <v>0</v>
      </c>
      <c r="M56" s="95">
        <v>0</v>
      </c>
      <c r="N56" s="96">
        <v>472</v>
      </c>
      <c r="O56" s="97">
        <v>0</v>
      </c>
      <c r="P56" s="95">
        <v>0</v>
      </c>
      <c r="Q56" s="96">
        <v>440</v>
      </c>
      <c r="R56" s="97">
        <v>0</v>
      </c>
      <c r="S56" s="95">
        <v>0</v>
      </c>
      <c r="T56" s="96">
        <v>470</v>
      </c>
      <c r="U56" s="97">
        <v>0</v>
      </c>
      <c r="V56" s="95">
        <v>0</v>
      </c>
      <c r="W56" s="96">
        <v>500</v>
      </c>
      <c r="X56" s="97">
        <v>0</v>
      </c>
      <c r="Y56" s="95">
        <v>0</v>
      </c>
      <c r="Z56" s="96">
        <v>410</v>
      </c>
      <c r="AA56" s="97">
        <v>0</v>
      </c>
      <c r="AB56" s="95">
        <v>0</v>
      </c>
      <c r="AC56" s="96">
        <v>220</v>
      </c>
      <c r="AD56" s="97">
        <v>0</v>
      </c>
      <c r="AE56" s="95">
        <v>0</v>
      </c>
      <c r="AF56" s="96">
        <v>580</v>
      </c>
      <c r="AG56" s="97">
        <v>0</v>
      </c>
      <c r="AH56" s="265">
        <f>+Janvier!AJ56</f>
        <v>434.54670329670336</v>
      </c>
      <c r="AI56" s="231">
        <f>+Janvier!AK56</f>
        <v>1351.9230769230767</v>
      </c>
      <c r="AJ56" s="231">
        <f>+Janvier!AL56</f>
        <v>1013.9423076923077</v>
      </c>
      <c r="AK56" s="231">
        <f>+Janvier!AM56</f>
        <v>1013.9423076923077</v>
      </c>
      <c r="AL56" s="231">
        <f>+Janvier!AN56</f>
        <v>614.51048951048949</v>
      </c>
      <c r="AM56" s="231">
        <f>+Janvier!AO56</f>
        <v>380.22836538461542</v>
      </c>
      <c r="AN56" s="231">
        <f>+Janvier!AP56</f>
        <v>760.45673076923083</v>
      </c>
      <c r="AO56" s="231">
        <f>+Janvier!AQ56</f>
        <v>380.22836538461542</v>
      </c>
      <c r="AP56" s="231">
        <f>+Janvier!AR56</f>
        <v>380.22836538461542</v>
      </c>
      <c r="AQ56" s="231">
        <f>+Janvier!AS56</f>
        <v>675.96153846153834</v>
      </c>
      <c r="AR56" s="16">
        <f t="shared" si="97"/>
        <v>1</v>
      </c>
      <c r="AS56" s="16">
        <f t="shared" si="98"/>
        <v>3</v>
      </c>
      <c r="AT56" s="16">
        <f t="shared" si="99"/>
        <v>2</v>
      </c>
      <c r="AU56" s="16">
        <f t="shared" si="100"/>
        <v>2</v>
      </c>
      <c r="AV56" s="16">
        <f t="shared" si="101"/>
        <v>4</v>
      </c>
      <c r="AW56" s="16">
        <f t="shared" si="102"/>
        <v>6</v>
      </c>
      <c r="AX56" s="16">
        <f t="shared" si="103"/>
        <v>3</v>
      </c>
      <c r="AY56" s="16">
        <f t="shared" si="104"/>
        <v>5</v>
      </c>
      <c r="AZ56" s="16">
        <f t="shared" si="105"/>
        <v>3</v>
      </c>
      <c r="BA56" s="17">
        <f t="shared" si="106"/>
        <v>4</v>
      </c>
    </row>
    <row r="57" spans="1:53" ht="15.6" x14ac:dyDescent="0.3">
      <c r="A57" s="199" t="s">
        <v>25</v>
      </c>
      <c r="B57" s="257">
        <v>44013</v>
      </c>
      <c r="C57" s="233">
        <v>44043</v>
      </c>
      <c r="D57" s="95">
        <v>880</v>
      </c>
      <c r="E57" s="96">
        <v>460</v>
      </c>
      <c r="F57" s="97">
        <v>0</v>
      </c>
      <c r="G57" s="95">
        <v>2280</v>
      </c>
      <c r="H57" s="96">
        <v>860</v>
      </c>
      <c r="I57" s="97">
        <v>0</v>
      </c>
      <c r="J57" s="95">
        <v>1670</v>
      </c>
      <c r="K57" s="96">
        <v>400</v>
      </c>
      <c r="L57" s="97">
        <v>0</v>
      </c>
      <c r="M57" s="95">
        <v>1660</v>
      </c>
      <c r="N57" s="96">
        <v>404</v>
      </c>
      <c r="O57" s="97">
        <v>0</v>
      </c>
      <c r="P57" s="95">
        <v>1150</v>
      </c>
      <c r="Q57" s="96">
        <v>117</v>
      </c>
      <c r="R57" s="97">
        <v>0</v>
      </c>
      <c r="S57" s="95">
        <v>580</v>
      </c>
      <c r="T57" s="96">
        <v>285</v>
      </c>
      <c r="U57" s="97">
        <v>0</v>
      </c>
      <c r="V57" s="95">
        <v>910</v>
      </c>
      <c r="W57" s="96">
        <v>870</v>
      </c>
      <c r="X57" s="97">
        <v>0</v>
      </c>
      <c r="Y57" s="95">
        <v>580</v>
      </c>
      <c r="Z57" s="96">
        <v>320</v>
      </c>
      <c r="AA57" s="97">
        <v>0</v>
      </c>
      <c r="AB57" s="95">
        <v>700</v>
      </c>
      <c r="AC57" s="96">
        <v>190</v>
      </c>
      <c r="AD57" s="97">
        <v>0</v>
      </c>
      <c r="AE57" s="95">
        <v>1150</v>
      </c>
      <c r="AF57" s="96">
        <v>980</v>
      </c>
      <c r="AG57" s="97">
        <v>0</v>
      </c>
      <c r="AH57" s="265">
        <f>+Janvier!AJ57</f>
        <v>816.30494505494516</v>
      </c>
      <c r="AI57" s="231">
        <f>+Janvier!AK57</f>
        <v>2539.6153846153848</v>
      </c>
      <c r="AJ57" s="231">
        <f>+Janvier!AL57</f>
        <v>1904.7115384615383</v>
      </c>
      <c r="AK57" s="231">
        <f>+Janvier!AM57</f>
        <v>1904.7115384615383</v>
      </c>
      <c r="AL57" s="231">
        <f>+Janvier!AN57</f>
        <v>1154.3706293706296</v>
      </c>
      <c r="AM57" s="231">
        <f>+Janvier!AO57</f>
        <v>714.26682692307691</v>
      </c>
      <c r="AN57" s="231">
        <f>+Janvier!AP57</f>
        <v>1428.5336538461538</v>
      </c>
      <c r="AO57" s="231">
        <f>+Janvier!AQ57</f>
        <v>714.26682692307691</v>
      </c>
      <c r="AP57" s="231">
        <f>+Janvier!AR57</f>
        <v>714.26682692307691</v>
      </c>
      <c r="AQ57" s="231">
        <f>+Janvier!AS57</f>
        <v>1269.8076923076924</v>
      </c>
      <c r="AR57" s="16">
        <f t="shared" si="97"/>
        <v>3</v>
      </c>
      <c r="AS57" s="16">
        <f t="shared" si="98"/>
        <v>2</v>
      </c>
      <c r="AT57" s="16">
        <f t="shared" si="99"/>
        <v>1</v>
      </c>
      <c r="AU57" s="16">
        <f t="shared" si="100"/>
        <v>1</v>
      </c>
      <c r="AV57" s="16">
        <f t="shared" si="101"/>
        <v>1</v>
      </c>
      <c r="AW57" s="16">
        <f t="shared" si="102"/>
        <v>2</v>
      </c>
      <c r="AX57" s="16">
        <f t="shared" si="103"/>
        <v>3</v>
      </c>
      <c r="AY57" s="16">
        <f t="shared" si="104"/>
        <v>2</v>
      </c>
      <c r="AZ57" s="16">
        <f t="shared" si="105"/>
        <v>1</v>
      </c>
      <c r="BA57" s="17">
        <f t="shared" si="106"/>
        <v>4</v>
      </c>
    </row>
    <row r="58" spans="1:53" ht="15.6" x14ac:dyDescent="0.3">
      <c r="A58" s="199" t="s">
        <v>23</v>
      </c>
      <c r="B58" s="257">
        <v>44013</v>
      </c>
      <c r="C58" s="233">
        <v>44043</v>
      </c>
      <c r="D58" s="95">
        <v>0</v>
      </c>
      <c r="E58" s="96">
        <v>300</v>
      </c>
      <c r="F58" s="97">
        <v>0</v>
      </c>
      <c r="G58" s="95">
        <v>0</v>
      </c>
      <c r="H58" s="96">
        <v>2000</v>
      </c>
      <c r="I58" s="97">
        <v>0</v>
      </c>
      <c r="J58" s="95">
        <v>0</v>
      </c>
      <c r="K58" s="96">
        <v>1270</v>
      </c>
      <c r="L58" s="97">
        <v>0</v>
      </c>
      <c r="M58" s="95">
        <v>0</v>
      </c>
      <c r="N58" s="96">
        <v>1488</v>
      </c>
      <c r="O58" s="97">
        <v>0</v>
      </c>
      <c r="P58" s="95">
        <v>0</v>
      </c>
      <c r="Q58" s="96">
        <v>1133</v>
      </c>
      <c r="R58" s="97">
        <v>0</v>
      </c>
      <c r="S58" s="95">
        <v>0</v>
      </c>
      <c r="T58" s="96">
        <v>710</v>
      </c>
      <c r="U58" s="97">
        <v>0</v>
      </c>
      <c r="V58" s="95">
        <v>0</v>
      </c>
      <c r="W58" s="96">
        <v>2070</v>
      </c>
      <c r="X58" s="97">
        <v>0</v>
      </c>
      <c r="Y58" s="95">
        <v>0</v>
      </c>
      <c r="Z58" s="96">
        <v>690</v>
      </c>
      <c r="AA58" s="97">
        <v>0</v>
      </c>
      <c r="AB58" s="95">
        <v>0</v>
      </c>
      <c r="AC58" s="96">
        <v>580</v>
      </c>
      <c r="AD58" s="97">
        <v>0</v>
      </c>
      <c r="AE58" s="95">
        <v>0</v>
      </c>
      <c r="AF58" s="96">
        <v>1570</v>
      </c>
      <c r="AG58" s="97">
        <v>0</v>
      </c>
      <c r="AH58" s="265">
        <f>+Janvier!AJ58</f>
        <v>510.08241758241758</v>
      </c>
      <c r="AI58" s="231">
        <f>+Janvier!AK58</f>
        <v>1586.9230769230767</v>
      </c>
      <c r="AJ58" s="231">
        <f>+Janvier!AL58</f>
        <v>1190.1923076923078</v>
      </c>
      <c r="AK58" s="231">
        <f>+Janvier!AM58</f>
        <v>1190.1923076923078</v>
      </c>
      <c r="AL58" s="231">
        <f>+Janvier!AN58</f>
        <v>721.32867132867148</v>
      </c>
      <c r="AM58" s="231">
        <f>+Janvier!AO58</f>
        <v>446.32211538461542</v>
      </c>
      <c r="AN58" s="231">
        <f>+Janvier!AP58</f>
        <v>892.64423076923083</v>
      </c>
      <c r="AO58" s="231">
        <f>+Janvier!AQ58</f>
        <v>446.32211538461542</v>
      </c>
      <c r="AP58" s="231">
        <f>+Janvier!AR58</f>
        <v>446.32211538461542</v>
      </c>
      <c r="AQ58" s="231">
        <f>+Janvier!AS58</f>
        <v>793.46153846153834</v>
      </c>
      <c r="AR58" s="16">
        <f t="shared" si="97"/>
        <v>3</v>
      </c>
      <c r="AS58" s="16">
        <f t="shared" si="98"/>
        <v>6</v>
      </c>
      <c r="AT58" s="16">
        <f t="shared" si="99"/>
        <v>5</v>
      </c>
      <c r="AU58" s="16">
        <f t="shared" si="100"/>
        <v>6</v>
      </c>
      <c r="AV58" s="16">
        <f t="shared" si="101"/>
        <v>8</v>
      </c>
      <c r="AW58" s="16">
        <f t="shared" si="102"/>
        <v>8</v>
      </c>
      <c r="AX58" s="16">
        <f t="shared" si="103"/>
        <v>12</v>
      </c>
      <c r="AY58" s="16">
        <f t="shared" si="104"/>
        <v>8</v>
      </c>
      <c r="AZ58" s="16">
        <f t="shared" si="105"/>
        <v>6</v>
      </c>
      <c r="BA58" s="17">
        <f t="shared" si="106"/>
        <v>10</v>
      </c>
    </row>
    <row r="59" spans="1:53" ht="15.6" x14ac:dyDescent="0.3">
      <c r="A59" s="199" t="s">
        <v>24</v>
      </c>
      <c r="B59" s="257">
        <v>44013</v>
      </c>
      <c r="C59" s="233">
        <v>44043</v>
      </c>
      <c r="D59" s="95">
        <v>500</v>
      </c>
      <c r="E59" s="96">
        <v>660</v>
      </c>
      <c r="F59" s="97">
        <v>0</v>
      </c>
      <c r="G59" s="95">
        <v>1800</v>
      </c>
      <c r="H59" s="96">
        <v>960</v>
      </c>
      <c r="I59" s="97">
        <v>0</v>
      </c>
      <c r="J59" s="95">
        <v>950</v>
      </c>
      <c r="K59" s="96">
        <v>990</v>
      </c>
      <c r="L59" s="97">
        <v>0</v>
      </c>
      <c r="M59" s="95">
        <v>1132</v>
      </c>
      <c r="N59" s="96">
        <v>968</v>
      </c>
      <c r="O59" s="97">
        <v>0</v>
      </c>
      <c r="P59" s="95">
        <v>1000</v>
      </c>
      <c r="Q59" s="96">
        <v>586</v>
      </c>
      <c r="R59" s="97">
        <v>0</v>
      </c>
      <c r="S59" s="95">
        <v>400</v>
      </c>
      <c r="T59" s="96">
        <v>315</v>
      </c>
      <c r="U59" s="97">
        <v>0</v>
      </c>
      <c r="V59" s="95">
        <v>1200</v>
      </c>
      <c r="W59" s="96">
        <v>260</v>
      </c>
      <c r="X59" s="97">
        <v>0</v>
      </c>
      <c r="Y59" s="95">
        <v>500</v>
      </c>
      <c r="Z59" s="96">
        <v>450</v>
      </c>
      <c r="AA59" s="97">
        <v>0</v>
      </c>
      <c r="AB59" s="95">
        <v>500</v>
      </c>
      <c r="AC59" s="96">
        <v>300</v>
      </c>
      <c r="AD59" s="97">
        <v>0</v>
      </c>
      <c r="AE59" s="95">
        <v>650</v>
      </c>
      <c r="AF59" s="96">
        <v>600</v>
      </c>
      <c r="AG59" s="97">
        <v>0</v>
      </c>
      <c r="AH59" s="265">
        <f>+Janvier!AJ59</f>
        <v>646.8131868131868</v>
      </c>
      <c r="AI59" s="231">
        <f>+Janvier!AK59</f>
        <v>2012.3076923076924</v>
      </c>
      <c r="AJ59" s="231">
        <f>+Janvier!AL59</f>
        <v>1509.2307692307693</v>
      </c>
      <c r="AK59" s="231">
        <f>+Janvier!AM59</f>
        <v>1509.2307692307693</v>
      </c>
      <c r="AL59" s="231">
        <f>+Janvier!AN59</f>
        <v>914.68531468531478</v>
      </c>
      <c r="AM59" s="231">
        <f>+Janvier!AO59</f>
        <v>565.96153846153845</v>
      </c>
      <c r="AN59" s="231">
        <f>+Janvier!AP59</f>
        <v>1131.9230769230769</v>
      </c>
      <c r="AO59" s="231">
        <f>+Janvier!AQ59</f>
        <v>565.96153846153845</v>
      </c>
      <c r="AP59" s="231">
        <f>+Janvier!AR59</f>
        <v>565.96153846153845</v>
      </c>
      <c r="AQ59" s="231">
        <f>+Janvier!AS59</f>
        <v>1006.1538461538462</v>
      </c>
      <c r="AR59" s="16">
        <f t="shared" si="97"/>
        <v>5</v>
      </c>
      <c r="AS59" s="16">
        <f t="shared" si="98"/>
        <v>2</v>
      </c>
      <c r="AT59" s="16">
        <f t="shared" si="99"/>
        <v>3</v>
      </c>
      <c r="AU59" s="16">
        <f t="shared" si="100"/>
        <v>3</v>
      </c>
      <c r="AV59" s="16">
        <f t="shared" si="101"/>
        <v>3</v>
      </c>
      <c r="AW59" s="16">
        <f t="shared" si="102"/>
        <v>3</v>
      </c>
      <c r="AX59" s="16">
        <f t="shared" si="103"/>
        <v>1</v>
      </c>
      <c r="AY59" s="16">
        <f t="shared" si="104"/>
        <v>4</v>
      </c>
      <c r="AZ59" s="16">
        <f t="shared" si="105"/>
        <v>3</v>
      </c>
      <c r="BA59" s="17">
        <f t="shared" si="106"/>
        <v>3</v>
      </c>
    </row>
    <row r="60" spans="1:53" ht="15.6" x14ac:dyDescent="0.3">
      <c r="A60" s="199" t="s">
        <v>26</v>
      </c>
      <c r="B60" s="257">
        <v>44013</v>
      </c>
      <c r="C60" s="233">
        <v>44043</v>
      </c>
      <c r="D60" s="95">
        <v>2300</v>
      </c>
      <c r="E60" s="96">
        <v>480</v>
      </c>
      <c r="F60" s="97">
        <v>0</v>
      </c>
      <c r="G60" s="95">
        <v>6000</v>
      </c>
      <c r="H60" s="96">
        <v>2780</v>
      </c>
      <c r="I60" s="97">
        <v>0</v>
      </c>
      <c r="J60" s="95">
        <v>4400</v>
      </c>
      <c r="K60" s="96">
        <v>1580</v>
      </c>
      <c r="L60" s="97">
        <v>0</v>
      </c>
      <c r="M60" s="95">
        <v>4200</v>
      </c>
      <c r="N60" s="96">
        <v>1456</v>
      </c>
      <c r="O60" s="97">
        <v>0</v>
      </c>
      <c r="P60" s="95">
        <v>2550</v>
      </c>
      <c r="Q60" s="96">
        <v>586</v>
      </c>
      <c r="R60" s="97">
        <v>0</v>
      </c>
      <c r="S60" s="95">
        <v>1650</v>
      </c>
      <c r="T60" s="96">
        <v>585</v>
      </c>
      <c r="U60" s="97">
        <v>0</v>
      </c>
      <c r="V60" s="95">
        <v>3000</v>
      </c>
      <c r="W60" s="96">
        <v>2530</v>
      </c>
      <c r="X60" s="97">
        <v>0</v>
      </c>
      <c r="Y60" s="95">
        <v>1500</v>
      </c>
      <c r="Z60" s="96">
        <v>710</v>
      </c>
      <c r="AA60" s="97">
        <v>0</v>
      </c>
      <c r="AB60" s="95">
        <v>2200</v>
      </c>
      <c r="AC60" s="96">
        <v>700</v>
      </c>
      <c r="AD60" s="97">
        <v>0</v>
      </c>
      <c r="AE60" s="95">
        <v>2500</v>
      </c>
      <c r="AF60" s="96">
        <v>2000</v>
      </c>
      <c r="AG60" s="97">
        <v>0</v>
      </c>
      <c r="AH60" s="265">
        <f>+Janvier!AJ60</f>
        <v>2337.1565934065934</v>
      </c>
      <c r="AI60" s="231">
        <f>+Janvier!AK60</f>
        <v>7271.1538461538466</v>
      </c>
      <c r="AJ60" s="231">
        <f>+Janvier!AL60</f>
        <v>5453.3653846153848</v>
      </c>
      <c r="AK60" s="231">
        <f>+Janvier!AM60</f>
        <v>5453.3653846153848</v>
      </c>
      <c r="AL60" s="231">
        <f>+Janvier!AN60</f>
        <v>3305.0699300699303</v>
      </c>
      <c r="AM60" s="231">
        <f>+Janvier!AO60</f>
        <v>2045.0120192307693</v>
      </c>
      <c r="AN60" s="231">
        <f>+Janvier!AP60</f>
        <v>4090.0240384615386</v>
      </c>
      <c r="AO60" s="231">
        <f>+Janvier!AQ60</f>
        <v>2045.0120192307693</v>
      </c>
      <c r="AP60" s="231">
        <f>+Janvier!AR60</f>
        <v>2045.0120192307693</v>
      </c>
      <c r="AQ60" s="231">
        <f>+Janvier!AS60</f>
        <v>3635.5769230769233</v>
      </c>
      <c r="AR60" s="16">
        <f t="shared" si="97"/>
        <v>1</v>
      </c>
      <c r="AS60" s="16">
        <f t="shared" si="98"/>
        <v>2</v>
      </c>
      <c r="AT60" s="16">
        <f t="shared" si="99"/>
        <v>1</v>
      </c>
      <c r="AU60" s="16">
        <f t="shared" si="100"/>
        <v>1</v>
      </c>
      <c r="AV60" s="16">
        <f t="shared" si="101"/>
        <v>1</v>
      </c>
      <c r="AW60" s="16">
        <f t="shared" si="102"/>
        <v>1</v>
      </c>
      <c r="AX60" s="16">
        <f t="shared" si="103"/>
        <v>3</v>
      </c>
      <c r="AY60" s="16">
        <f t="shared" si="104"/>
        <v>2</v>
      </c>
      <c r="AZ60" s="16">
        <f t="shared" si="105"/>
        <v>2</v>
      </c>
      <c r="BA60" s="17">
        <f t="shared" si="106"/>
        <v>3</v>
      </c>
    </row>
    <row r="61" spans="1:53" ht="15.6" x14ac:dyDescent="0.3">
      <c r="A61" s="199" t="s">
        <v>27</v>
      </c>
      <c r="B61" s="257">
        <v>44013</v>
      </c>
      <c r="C61" s="233">
        <v>44043</v>
      </c>
      <c r="D61" s="95">
        <v>1660</v>
      </c>
      <c r="E61" s="96">
        <v>560</v>
      </c>
      <c r="F61" s="97">
        <v>0</v>
      </c>
      <c r="G61" s="95">
        <v>4020</v>
      </c>
      <c r="H61" s="96">
        <v>1800</v>
      </c>
      <c r="I61" s="97">
        <v>0</v>
      </c>
      <c r="J61" s="95">
        <v>3150</v>
      </c>
      <c r="K61" s="96">
        <v>1360</v>
      </c>
      <c r="L61" s="97">
        <v>0</v>
      </c>
      <c r="M61" s="95">
        <v>2956</v>
      </c>
      <c r="N61" s="96">
        <v>1420</v>
      </c>
      <c r="O61" s="97">
        <v>0</v>
      </c>
      <c r="P61" s="95">
        <v>2000</v>
      </c>
      <c r="Q61" s="96">
        <v>779</v>
      </c>
      <c r="R61" s="97">
        <v>0</v>
      </c>
      <c r="S61" s="95">
        <v>960</v>
      </c>
      <c r="T61" s="96">
        <v>440</v>
      </c>
      <c r="U61" s="97">
        <v>0</v>
      </c>
      <c r="V61" s="95">
        <v>1650</v>
      </c>
      <c r="W61" s="96">
        <v>1390</v>
      </c>
      <c r="X61" s="97">
        <v>0</v>
      </c>
      <c r="Y61" s="95">
        <v>1290</v>
      </c>
      <c r="Z61" s="96">
        <v>580</v>
      </c>
      <c r="AA61" s="97">
        <v>0</v>
      </c>
      <c r="AB61" s="95">
        <v>630</v>
      </c>
      <c r="AC61" s="96">
        <v>300</v>
      </c>
      <c r="AD61" s="97">
        <v>0</v>
      </c>
      <c r="AE61" s="95">
        <v>1650</v>
      </c>
      <c r="AF61" s="96">
        <v>1940</v>
      </c>
      <c r="AG61" s="97">
        <v>0</v>
      </c>
      <c r="AH61" s="265">
        <f>+Janvier!AJ61</f>
        <v>1836.5934065934064</v>
      </c>
      <c r="AI61" s="231">
        <f>+Janvier!AK61</f>
        <v>5713.8461538461534</v>
      </c>
      <c r="AJ61" s="231">
        <f>+Janvier!AL61</f>
        <v>4285.3846153846152</v>
      </c>
      <c r="AK61" s="231">
        <f>+Janvier!AM61</f>
        <v>4285.3846153846152</v>
      </c>
      <c r="AL61" s="231">
        <f>+Janvier!AN61</f>
        <v>2597.2027972027972</v>
      </c>
      <c r="AM61" s="231">
        <f>+Janvier!AO61</f>
        <v>1607.0192307692307</v>
      </c>
      <c r="AN61" s="231">
        <f>+Janvier!AP61</f>
        <v>3214.0384615384614</v>
      </c>
      <c r="AO61" s="231">
        <f>+Janvier!AQ61</f>
        <v>1607.0192307692307</v>
      </c>
      <c r="AP61" s="231">
        <f>+Janvier!AR61</f>
        <v>1607.0192307692307</v>
      </c>
      <c r="AQ61" s="231">
        <f>+Janvier!AS61</f>
        <v>2856.9230769230767</v>
      </c>
      <c r="AR61" s="16">
        <f t="shared" si="97"/>
        <v>2</v>
      </c>
      <c r="AS61" s="16">
        <f t="shared" si="98"/>
        <v>2</v>
      </c>
      <c r="AT61" s="16">
        <f t="shared" si="99"/>
        <v>2</v>
      </c>
      <c r="AU61" s="16">
        <f t="shared" si="100"/>
        <v>2</v>
      </c>
      <c r="AV61" s="16">
        <f t="shared" si="101"/>
        <v>1</v>
      </c>
      <c r="AW61" s="16">
        <f t="shared" si="102"/>
        <v>1</v>
      </c>
      <c r="AX61" s="16">
        <f t="shared" si="103"/>
        <v>2</v>
      </c>
      <c r="AY61" s="16">
        <f t="shared" si="104"/>
        <v>2</v>
      </c>
      <c r="AZ61" s="16">
        <f t="shared" si="105"/>
        <v>1</v>
      </c>
      <c r="BA61" s="17">
        <f t="shared" si="106"/>
        <v>3</v>
      </c>
    </row>
    <row r="62" spans="1:53" ht="15.6" x14ac:dyDescent="0.3">
      <c r="A62" s="199" t="s">
        <v>28</v>
      </c>
      <c r="B62" s="257">
        <v>44013</v>
      </c>
      <c r="C62" s="233">
        <v>44043</v>
      </c>
      <c r="D62" s="95">
        <v>3020</v>
      </c>
      <c r="E62" s="98">
        <v>1000</v>
      </c>
      <c r="F62" s="97">
        <v>0</v>
      </c>
      <c r="G62" s="99">
        <v>10000</v>
      </c>
      <c r="H62" s="98">
        <v>5500</v>
      </c>
      <c r="I62" s="97">
        <v>0</v>
      </c>
      <c r="J62" s="99">
        <v>6920</v>
      </c>
      <c r="K62" s="98">
        <v>3370</v>
      </c>
      <c r="L62" s="97">
        <v>0</v>
      </c>
      <c r="M62" s="99">
        <v>5284</v>
      </c>
      <c r="N62" s="98">
        <v>2340</v>
      </c>
      <c r="O62" s="97">
        <v>0</v>
      </c>
      <c r="P62" s="99">
        <v>3600</v>
      </c>
      <c r="Q62" s="98">
        <v>1450</v>
      </c>
      <c r="R62" s="97">
        <v>0</v>
      </c>
      <c r="S62" s="99">
        <v>1340</v>
      </c>
      <c r="T62" s="98">
        <v>310</v>
      </c>
      <c r="U62" s="97">
        <v>0</v>
      </c>
      <c r="V62" s="99">
        <v>4000</v>
      </c>
      <c r="W62" s="98">
        <v>3190</v>
      </c>
      <c r="X62" s="97">
        <v>0</v>
      </c>
      <c r="Y62" s="99">
        <v>2200</v>
      </c>
      <c r="Z62" s="98">
        <v>900</v>
      </c>
      <c r="AA62" s="97">
        <v>0</v>
      </c>
      <c r="AB62" s="95">
        <v>2650</v>
      </c>
      <c r="AC62" s="98">
        <v>1040</v>
      </c>
      <c r="AD62" s="100">
        <v>0</v>
      </c>
      <c r="AE62" s="99">
        <v>2870</v>
      </c>
      <c r="AF62" s="98">
        <v>2880</v>
      </c>
      <c r="AG62" s="97">
        <v>0</v>
      </c>
      <c r="AH62" s="265">
        <f>+Janvier!AJ62</f>
        <v>3546.2225274725279</v>
      </c>
      <c r="AI62" s="231">
        <f>+Janvier!AK62</f>
        <v>11032.692307692307</v>
      </c>
      <c r="AJ62" s="231">
        <f>+Janvier!AL62</f>
        <v>8274.5192307692305</v>
      </c>
      <c r="AK62" s="231">
        <f>+Janvier!AM62</f>
        <v>8274.5192307692305</v>
      </c>
      <c r="AL62" s="231">
        <f>+Janvier!AN62</f>
        <v>5014.8601398601395</v>
      </c>
      <c r="AM62" s="231">
        <f>+Janvier!AO62</f>
        <v>3102.9447115384614</v>
      </c>
      <c r="AN62" s="231">
        <f>+Janvier!AP62</f>
        <v>6205.8894230769229</v>
      </c>
      <c r="AO62" s="231">
        <f>+Janvier!AQ62</f>
        <v>3102.9447115384614</v>
      </c>
      <c r="AP62" s="231">
        <f>+Janvier!AR62</f>
        <v>3102.9447115384614</v>
      </c>
      <c r="AQ62" s="231">
        <f>+Janvier!AS62</f>
        <v>5516.3461538461534</v>
      </c>
      <c r="AR62" s="16">
        <f t="shared" si="97"/>
        <v>1</v>
      </c>
      <c r="AS62" s="16">
        <f t="shared" si="98"/>
        <v>2</v>
      </c>
      <c r="AT62" s="16">
        <f t="shared" si="99"/>
        <v>2</v>
      </c>
      <c r="AU62" s="16">
        <f t="shared" si="100"/>
        <v>1</v>
      </c>
      <c r="AV62" s="16">
        <f t="shared" si="101"/>
        <v>1</v>
      </c>
      <c r="AW62" s="16">
        <f t="shared" si="102"/>
        <v>0</v>
      </c>
      <c r="AX62" s="16">
        <f t="shared" si="103"/>
        <v>3</v>
      </c>
      <c r="AY62" s="16">
        <f t="shared" si="104"/>
        <v>1</v>
      </c>
      <c r="AZ62" s="16">
        <f t="shared" si="105"/>
        <v>2</v>
      </c>
      <c r="BA62" s="17">
        <f t="shared" si="106"/>
        <v>3</v>
      </c>
    </row>
    <row r="63" spans="1:53" ht="15.6" x14ac:dyDescent="0.3">
      <c r="A63" s="199" t="s">
        <v>29</v>
      </c>
      <c r="B63" s="257">
        <v>44013</v>
      </c>
      <c r="C63" s="233">
        <v>44043</v>
      </c>
      <c r="D63" s="95">
        <v>2000</v>
      </c>
      <c r="E63" s="98">
        <v>440</v>
      </c>
      <c r="F63" s="97">
        <v>0</v>
      </c>
      <c r="G63" s="99">
        <v>3500</v>
      </c>
      <c r="H63" s="98">
        <v>1340</v>
      </c>
      <c r="I63" s="97">
        <v>0</v>
      </c>
      <c r="J63" s="99">
        <v>3000</v>
      </c>
      <c r="K63" s="98">
        <v>1370</v>
      </c>
      <c r="L63" s="97">
        <v>0</v>
      </c>
      <c r="M63" s="99">
        <v>2800</v>
      </c>
      <c r="N63" s="98">
        <v>1444</v>
      </c>
      <c r="O63" s="97">
        <v>0</v>
      </c>
      <c r="P63" s="99">
        <v>1900</v>
      </c>
      <c r="Q63" s="98">
        <v>868</v>
      </c>
      <c r="R63" s="97">
        <v>0</v>
      </c>
      <c r="S63" s="99">
        <v>1700</v>
      </c>
      <c r="T63" s="98">
        <v>1245</v>
      </c>
      <c r="U63" s="97">
        <v>0</v>
      </c>
      <c r="V63" s="99">
        <v>2500</v>
      </c>
      <c r="W63" s="98">
        <v>850</v>
      </c>
      <c r="X63" s="97">
        <v>0</v>
      </c>
      <c r="Y63" s="99">
        <v>1500</v>
      </c>
      <c r="Z63" s="98">
        <v>400</v>
      </c>
      <c r="AA63" s="97">
        <v>0</v>
      </c>
      <c r="AB63" s="95">
        <v>1140</v>
      </c>
      <c r="AC63" s="98">
        <v>220</v>
      </c>
      <c r="AD63" s="97">
        <v>0</v>
      </c>
      <c r="AE63" s="99">
        <v>2000</v>
      </c>
      <c r="AF63" s="98">
        <v>1980</v>
      </c>
      <c r="AG63" s="97">
        <v>0</v>
      </c>
      <c r="AH63" s="265">
        <f>+Janvier!AJ63</f>
        <v>2493.4203296703299</v>
      </c>
      <c r="AI63" s="231">
        <f>+Janvier!AK63</f>
        <v>7757.3076923076942</v>
      </c>
      <c r="AJ63" s="231">
        <f>+Janvier!AL63</f>
        <v>5817.9807692307704</v>
      </c>
      <c r="AK63" s="231">
        <f>+Janvier!AM63</f>
        <v>5817.9807692307704</v>
      </c>
      <c r="AL63" s="231">
        <f>+Janvier!AN63</f>
        <v>3526.0489510489515</v>
      </c>
      <c r="AM63" s="231">
        <f>+Janvier!AO63</f>
        <v>2181.7427884615386</v>
      </c>
      <c r="AN63" s="231">
        <f>+Janvier!AP63</f>
        <v>4363.4855769230771</v>
      </c>
      <c r="AO63" s="231">
        <f>+Janvier!AQ63</f>
        <v>2181.7427884615386</v>
      </c>
      <c r="AP63" s="231">
        <f>+Janvier!AR63</f>
        <v>2181.7427884615386</v>
      </c>
      <c r="AQ63" s="231">
        <f>+Janvier!AS63</f>
        <v>3878.6538461538471</v>
      </c>
      <c r="AR63" s="16">
        <f t="shared" si="97"/>
        <v>1</v>
      </c>
      <c r="AS63" s="16">
        <f t="shared" si="98"/>
        <v>1</v>
      </c>
      <c r="AT63" s="16">
        <f t="shared" si="99"/>
        <v>1</v>
      </c>
      <c r="AU63" s="16">
        <f t="shared" si="100"/>
        <v>1</v>
      </c>
      <c r="AV63" s="16">
        <f t="shared" si="101"/>
        <v>1</v>
      </c>
      <c r="AW63" s="16">
        <f t="shared" si="102"/>
        <v>3</v>
      </c>
      <c r="AX63" s="16">
        <f t="shared" si="103"/>
        <v>1</v>
      </c>
      <c r="AY63" s="16">
        <f t="shared" si="104"/>
        <v>1</v>
      </c>
      <c r="AZ63" s="16">
        <f t="shared" si="105"/>
        <v>1</v>
      </c>
      <c r="BA63" s="17">
        <f t="shared" si="106"/>
        <v>3</v>
      </c>
    </row>
    <row r="64" spans="1:53" ht="15.6" x14ac:dyDescent="0.3">
      <c r="A64" s="199" t="s">
        <v>30</v>
      </c>
      <c r="B64" s="257">
        <v>44013</v>
      </c>
      <c r="C64" s="233">
        <v>44043</v>
      </c>
      <c r="D64" s="95">
        <v>1000</v>
      </c>
      <c r="E64" s="98">
        <v>680</v>
      </c>
      <c r="F64" s="97">
        <v>0</v>
      </c>
      <c r="G64" s="99">
        <v>2220</v>
      </c>
      <c r="H64" s="98">
        <v>1200</v>
      </c>
      <c r="I64" s="97">
        <v>0</v>
      </c>
      <c r="J64" s="99">
        <v>2100</v>
      </c>
      <c r="K64" s="98">
        <v>730</v>
      </c>
      <c r="L64" s="97">
        <v>0</v>
      </c>
      <c r="M64" s="99">
        <v>1620</v>
      </c>
      <c r="N64" s="98">
        <v>1012</v>
      </c>
      <c r="O64" s="97">
        <v>0</v>
      </c>
      <c r="P64" s="99">
        <v>1100</v>
      </c>
      <c r="Q64" s="98">
        <v>372</v>
      </c>
      <c r="R64" s="97">
        <v>0</v>
      </c>
      <c r="S64" s="99">
        <v>800</v>
      </c>
      <c r="T64" s="98">
        <v>230</v>
      </c>
      <c r="U64" s="97">
        <v>0</v>
      </c>
      <c r="V64" s="99">
        <v>1000</v>
      </c>
      <c r="W64" s="98">
        <v>1330</v>
      </c>
      <c r="X64" s="97">
        <v>0</v>
      </c>
      <c r="Y64" s="99">
        <v>490</v>
      </c>
      <c r="Z64" s="98">
        <v>490</v>
      </c>
      <c r="AA64" s="97">
        <v>0</v>
      </c>
      <c r="AB64" s="95">
        <v>1220</v>
      </c>
      <c r="AC64" s="98">
        <v>670</v>
      </c>
      <c r="AD64" s="97">
        <v>0</v>
      </c>
      <c r="AE64" s="99">
        <v>600</v>
      </c>
      <c r="AF64" s="98">
        <v>1350</v>
      </c>
      <c r="AG64" s="97">
        <v>0</v>
      </c>
      <c r="AH64" s="265">
        <f>+Janvier!AJ64</f>
        <v>1338.1318681318683</v>
      </c>
      <c r="AI64" s="231">
        <f>+Janvier!AK64</f>
        <v>4163.0769230769229</v>
      </c>
      <c r="AJ64" s="231">
        <f>+Janvier!AL64</f>
        <v>3122.3076923076928</v>
      </c>
      <c r="AK64" s="231">
        <f>+Janvier!AM64</f>
        <v>3122.3076923076928</v>
      </c>
      <c r="AL64" s="231">
        <f>+Janvier!AN64</f>
        <v>1892.3076923076926</v>
      </c>
      <c r="AM64" s="231">
        <f>+Janvier!AO64</f>
        <v>1170.8653846153848</v>
      </c>
      <c r="AN64" s="231">
        <f>+Janvier!AP64</f>
        <v>2341.7307692307695</v>
      </c>
      <c r="AO64" s="231">
        <f>+Janvier!AQ64</f>
        <v>1170.8653846153848</v>
      </c>
      <c r="AP64" s="231">
        <f>+Janvier!AR64</f>
        <v>1170.8653846153848</v>
      </c>
      <c r="AQ64" s="231">
        <f>+Janvier!AS64</f>
        <v>2081.5384615384614</v>
      </c>
      <c r="AR64" s="16">
        <f t="shared" si="97"/>
        <v>3</v>
      </c>
      <c r="AS64" s="16">
        <f t="shared" si="98"/>
        <v>1</v>
      </c>
      <c r="AT64" s="16">
        <f t="shared" si="99"/>
        <v>1</v>
      </c>
      <c r="AU64" s="16">
        <f t="shared" si="100"/>
        <v>2</v>
      </c>
      <c r="AV64" s="16">
        <f t="shared" si="101"/>
        <v>1</v>
      </c>
      <c r="AW64" s="16">
        <f t="shared" si="102"/>
        <v>1</v>
      </c>
      <c r="AX64" s="16">
        <f t="shared" si="103"/>
        <v>3</v>
      </c>
      <c r="AY64" s="16">
        <f t="shared" si="104"/>
        <v>2</v>
      </c>
      <c r="AZ64" s="16">
        <f t="shared" si="105"/>
        <v>3</v>
      </c>
      <c r="BA64" s="17">
        <f t="shared" si="106"/>
        <v>3</v>
      </c>
    </row>
    <row r="65" spans="1:53" ht="15.6" x14ac:dyDescent="0.3">
      <c r="A65" s="199" t="s">
        <v>31</v>
      </c>
      <c r="B65" s="257">
        <v>44013</v>
      </c>
      <c r="C65" s="233">
        <v>44043</v>
      </c>
      <c r="D65" s="95">
        <v>2000</v>
      </c>
      <c r="E65" s="98">
        <v>260</v>
      </c>
      <c r="F65" s="97">
        <v>0</v>
      </c>
      <c r="G65" s="99">
        <v>7500</v>
      </c>
      <c r="H65" s="98">
        <v>2100</v>
      </c>
      <c r="I65" s="97">
        <v>0</v>
      </c>
      <c r="J65" s="99">
        <v>5000</v>
      </c>
      <c r="K65" s="98">
        <v>1050</v>
      </c>
      <c r="L65" s="97">
        <v>0</v>
      </c>
      <c r="M65" s="99">
        <v>5500</v>
      </c>
      <c r="N65" s="98">
        <v>624</v>
      </c>
      <c r="O65" s="97">
        <v>0</v>
      </c>
      <c r="P65" s="99">
        <v>3250</v>
      </c>
      <c r="Q65" s="98">
        <v>1850</v>
      </c>
      <c r="R65" s="97">
        <v>0</v>
      </c>
      <c r="S65" s="99">
        <v>2000</v>
      </c>
      <c r="T65" s="98">
        <v>1050</v>
      </c>
      <c r="U65" s="97">
        <v>0</v>
      </c>
      <c r="V65" s="99">
        <v>3130</v>
      </c>
      <c r="W65" s="98">
        <v>1910</v>
      </c>
      <c r="X65" s="97">
        <v>0</v>
      </c>
      <c r="Y65" s="99">
        <v>2060</v>
      </c>
      <c r="Z65" s="98">
        <v>250</v>
      </c>
      <c r="AA65" s="97">
        <v>0</v>
      </c>
      <c r="AB65" s="95">
        <v>2060</v>
      </c>
      <c r="AC65" s="98">
        <v>210</v>
      </c>
      <c r="AD65" s="97">
        <v>0</v>
      </c>
      <c r="AE65" s="99">
        <v>3670</v>
      </c>
      <c r="AF65" s="98">
        <v>720</v>
      </c>
      <c r="AG65" s="97">
        <v>0</v>
      </c>
      <c r="AH65" s="265">
        <f>+Janvier!AJ65</f>
        <v>2561.7857142857147</v>
      </c>
      <c r="AI65" s="231">
        <f>+Janvier!AK65</f>
        <v>7970</v>
      </c>
      <c r="AJ65" s="231">
        <f>+Janvier!AL65</f>
        <v>5977.4999999999991</v>
      </c>
      <c r="AK65" s="231">
        <f>+Janvier!AM65</f>
        <v>5977.4999999999991</v>
      </c>
      <c r="AL65" s="231">
        <f>+Janvier!AN65</f>
        <v>3622.727272727273</v>
      </c>
      <c r="AM65" s="231">
        <f>+Janvier!AO65</f>
        <v>2241.5625</v>
      </c>
      <c r="AN65" s="231">
        <f>+Janvier!AP65</f>
        <v>4483.125</v>
      </c>
      <c r="AO65" s="231">
        <f>+Janvier!AQ65</f>
        <v>2241.5625</v>
      </c>
      <c r="AP65" s="231">
        <f>+Janvier!AR65</f>
        <v>2241.5625</v>
      </c>
      <c r="AQ65" s="231">
        <f>+Janvier!AS65</f>
        <v>3985</v>
      </c>
      <c r="AR65" s="16">
        <f t="shared" si="97"/>
        <v>1</v>
      </c>
      <c r="AS65" s="16">
        <f t="shared" si="98"/>
        <v>1</v>
      </c>
      <c r="AT65" s="16">
        <f t="shared" si="99"/>
        <v>1</v>
      </c>
      <c r="AU65" s="16">
        <f t="shared" si="100"/>
        <v>1</v>
      </c>
      <c r="AV65" s="16">
        <f t="shared" si="101"/>
        <v>3</v>
      </c>
      <c r="AW65" s="16">
        <f t="shared" si="102"/>
        <v>2</v>
      </c>
      <c r="AX65" s="16">
        <f t="shared" si="103"/>
        <v>2</v>
      </c>
      <c r="AY65" s="16">
        <f t="shared" si="104"/>
        <v>1</v>
      </c>
      <c r="AZ65" s="16">
        <f t="shared" si="105"/>
        <v>0</v>
      </c>
      <c r="BA65" s="17">
        <f t="shared" si="106"/>
        <v>1</v>
      </c>
    </row>
    <row r="66" spans="1:53" ht="15.6" x14ac:dyDescent="0.3">
      <c r="A66" s="199" t="s">
        <v>32</v>
      </c>
      <c r="B66" s="257">
        <v>44013</v>
      </c>
      <c r="C66" s="233">
        <v>44043</v>
      </c>
      <c r="D66" s="95">
        <v>2140</v>
      </c>
      <c r="E66" s="98">
        <v>1460</v>
      </c>
      <c r="F66" s="97">
        <v>0</v>
      </c>
      <c r="G66" s="99">
        <v>5500</v>
      </c>
      <c r="H66" s="98">
        <v>4440</v>
      </c>
      <c r="I66" s="97">
        <v>0</v>
      </c>
      <c r="J66" s="99">
        <v>4000</v>
      </c>
      <c r="K66" s="98">
        <v>2960</v>
      </c>
      <c r="L66" s="97">
        <v>0</v>
      </c>
      <c r="M66" s="99">
        <v>4220</v>
      </c>
      <c r="N66" s="98">
        <v>3356</v>
      </c>
      <c r="O66" s="97">
        <v>0</v>
      </c>
      <c r="P66" s="99">
        <v>2600</v>
      </c>
      <c r="Q66" s="98">
        <v>1983</v>
      </c>
      <c r="R66" s="97">
        <v>0</v>
      </c>
      <c r="S66" s="99">
        <v>1500</v>
      </c>
      <c r="T66" s="98">
        <v>1150</v>
      </c>
      <c r="U66" s="97">
        <v>0</v>
      </c>
      <c r="V66" s="99">
        <v>1930</v>
      </c>
      <c r="W66" s="98">
        <v>2140</v>
      </c>
      <c r="X66" s="97">
        <v>0</v>
      </c>
      <c r="Y66" s="99">
        <v>1480</v>
      </c>
      <c r="Z66" s="98">
        <v>1200</v>
      </c>
      <c r="AA66" s="97">
        <v>0</v>
      </c>
      <c r="AB66" s="95">
        <v>1410</v>
      </c>
      <c r="AC66" s="98">
        <v>1180</v>
      </c>
      <c r="AD66" s="97">
        <v>0</v>
      </c>
      <c r="AE66" s="99">
        <v>2360</v>
      </c>
      <c r="AF66" s="98">
        <v>2250</v>
      </c>
      <c r="AG66" s="97">
        <v>0</v>
      </c>
      <c r="AH66" s="265">
        <f>+Janvier!AJ66</f>
        <v>1732.3763736263736</v>
      </c>
      <c r="AI66" s="231">
        <f>+Janvier!AK66</f>
        <v>5389.6153846153857</v>
      </c>
      <c r="AJ66" s="231">
        <f>+Janvier!AL66</f>
        <v>4042.211538461539</v>
      </c>
      <c r="AK66" s="231">
        <f>+Janvier!AM66</f>
        <v>4042.211538461539</v>
      </c>
      <c r="AL66" s="231">
        <f>+Janvier!AN66</f>
        <v>2449.8251748251751</v>
      </c>
      <c r="AM66" s="231">
        <f>+Janvier!AO66</f>
        <v>1515.8293269230767</v>
      </c>
      <c r="AN66" s="231">
        <f>+Janvier!AP66</f>
        <v>3031.6586538461534</v>
      </c>
      <c r="AO66" s="231">
        <f>+Janvier!AQ66</f>
        <v>1515.8293269230767</v>
      </c>
      <c r="AP66" s="231">
        <f>+Janvier!AR66</f>
        <v>1515.8293269230767</v>
      </c>
      <c r="AQ66" s="231">
        <f>+Janvier!AS66</f>
        <v>2694.8076923076928</v>
      </c>
      <c r="AR66" s="16">
        <f t="shared" si="97"/>
        <v>4</v>
      </c>
      <c r="AS66" s="16">
        <f t="shared" si="98"/>
        <v>4</v>
      </c>
      <c r="AT66" s="16">
        <f t="shared" si="99"/>
        <v>4</v>
      </c>
      <c r="AU66" s="16">
        <f t="shared" si="100"/>
        <v>4</v>
      </c>
      <c r="AV66" s="16">
        <f t="shared" si="101"/>
        <v>4</v>
      </c>
      <c r="AW66" s="16">
        <f t="shared" si="102"/>
        <v>4</v>
      </c>
      <c r="AX66" s="16">
        <f t="shared" si="103"/>
        <v>4</v>
      </c>
      <c r="AY66" s="16">
        <f t="shared" si="104"/>
        <v>4</v>
      </c>
      <c r="AZ66" s="16">
        <f t="shared" si="105"/>
        <v>4</v>
      </c>
      <c r="BA66" s="17">
        <f t="shared" si="106"/>
        <v>4</v>
      </c>
    </row>
    <row r="67" spans="1:53" ht="16.2" thickBot="1" x14ac:dyDescent="0.35">
      <c r="A67" s="199" t="s">
        <v>33</v>
      </c>
      <c r="B67" s="270">
        <v>44013</v>
      </c>
      <c r="C67" s="271">
        <v>44043</v>
      </c>
      <c r="D67" s="111">
        <v>1580</v>
      </c>
      <c r="E67" s="263">
        <v>780</v>
      </c>
      <c r="F67" s="110">
        <v>0</v>
      </c>
      <c r="G67" s="264">
        <v>4040</v>
      </c>
      <c r="H67" s="263">
        <v>2080</v>
      </c>
      <c r="I67" s="110">
        <v>0</v>
      </c>
      <c r="J67" s="264">
        <v>2350</v>
      </c>
      <c r="K67" s="263">
        <v>1630</v>
      </c>
      <c r="L67" s="110">
        <v>0</v>
      </c>
      <c r="M67" s="264">
        <v>2200</v>
      </c>
      <c r="N67" s="263">
        <v>1584</v>
      </c>
      <c r="O67" s="110">
        <v>0</v>
      </c>
      <c r="P67" s="264">
        <v>1650</v>
      </c>
      <c r="Q67" s="263">
        <v>864</v>
      </c>
      <c r="R67" s="110">
        <v>0</v>
      </c>
      <c r="S67" s="264">
        <v>870</v>
      </c>
      <c r="T67" s="263">
        <v>620</v>
      </c>
      <c r="U67" s="110">
        <v>0</v>
      </c>
      <c r="V67" s="264">
        <v>1560</v>
      </c>
      <c r="W67" s="263">
        <v>1440</v>
      </c>
      <c r="X67" s="110">
        <v>0</v>
      </c>
      <c r="Y67" s="264">
        <v>970</v>
      </c>
      <c r="Z67" s="263">
        <v>580</v>
      </c>
      <c r="AA67" s="110">
        <v>0</v>
      </c>
      <c r="AB67" s="111">
        <v>1010</v>
      </c>
      <c r="AC67" s="263">
        <v>530</v>
      </c>
      <c r="AD67" s="110">
        <v>0</v>
      </c>
      <c r="AE67" s="266">
        <v>1040</v>
      </c>
      <c r="AF67" s="267">
        <v>1780</v>
      </c>
      <c r="AG67" s="261">
        <v>0</v>
      </c>
      <c r="AH67" s="265">
        <f>+Janvier!AJ67</f>
        <v>1391.4148351648353</v>
      </c>
      <c r="AI67" s="231">
        <f>+Janvier!AK67</f>
        <v>4328.8461538461534</v>
      </c>
      <c r="AJ67" s="231">
        <f>+Janvier!AL67</f>
        <v>3246.6346153846152</v>
      </c>
      <c r="AK67" s="231">
        <f>+Janvier!AM67</f>
        <v>3246.6346153846152</v>
      </c>
      <c r="AL67" s="231">
        <f>+Janvier!AN67</f>
        <v>1967.6573426573427</v>
      </c>
      <c r="AM67" s="231">
        <f>+Janvier!AO67</f>
        <v>1217.4879807692307</v>
      </c>
      <c r="AN67" s="231">
        <f>+Janvier!AP67</f>
        <v>2434.9759615384614</v>
      </c>
      <c r="AO67" s="231">
        <f>+Janvier!AQ67</f>
        <v>1217.4879807692307</v>
      </c>
      <c r="AP67" s="231">
        <f>+Janvier!AR67</f>
        <v>1217.4879807692307</v>
      </c>
      <c r="AQ67" s="231">
        <f>+Janvier!AS67</f>
        <v>2164.4230769230767</v>
      </c>
      <c r="AR67" s="32">
        <f t="shared" si="97"/>
        <v>3</v>
      </c>
      <c r="AS67" s="32">
        <f t="shared" si="98"/>
        <v>2</v>
      </c>
      <c r="AT67" s="32">
        <f t="shared" si="99"/>
        <v>3</v>
      </c>
      <c r="AU67" s="32">
        <f t="shared" si="100"/>
        <v>2</v>
      </c>
      <c r="AV67" s="32">
        <f t="shared" si="101"/>
        <v>2</v>
      </c>
      <c r="AW67" s="32">
        <f t="shared" si="102"/>
        <v>3</v>
      </c>
      <c r="AX67" s="32">
        <f t="shared" si="103"/>
        <v>3</v>
      </c>
      <c r="AY67" s="32">
        <f t="shared" si="104"/>
        <v>2</v>
      </c>
      <c r="AZ67" s="32">
        <f t="shared" si="105"/>
        <v>2</v>
      </c>
      <c r="BA67" s="33">
        <f t="shared" si="106"/>
        <v>4</v>
      </c>
    </row>
    <row r="68" spans="1:53" ht="15.6" x14ac:dyDescent="0.3">
      <c r="A68" s="202" t="s">
        <v>86</v>
      </c>
      <c r="B68" s="256">
        <v>44013</v>
      </c>
      <c r="C68" s="160">
        <v>44035</v>
      </c>
      <c r="D68" s="268">
        <v>0</v>
      </c>
      <c r="E68" s="123">
        <v>19400</v>
      </c>
      <c r="F68" s="124">
        <v>0</v>
      </c>
      <c r="G68" s="125">
        <v>0</v>
      </c>
      <c r="H68" s="123">
        <v>77340</v>
      </c>
      <c r="I68" s="124">
        <v>0</v>
      </c>
      <c r="J68" s="125">
        <v>0</v>
      </c>
      <c r="K68" s="123">
        <v>43540</v>
      </c>
      <c r="L68" s="124">
        <v>0</v>
      </c>
      <c r="M68" s="125">
        <v>0</v>
      </c>
      <c r="N68" s="123">
        <v>55542</v>
      </c>
      <c r="O68" s="124">
        <v>0</v>
      </c>
      <c r="P68" s="125">
        <v>0</v>
      </c>
      <c r="Q68" s="123">
        <v>34764</v>
      </c>
      <c r="R68" s="124">
        <v>0</v>
      </c>
      <c r="S68" s="125">
        <v>0</v>
      </c>
      <c r="T68" s="123">
        <v>13460</v>
      </c>
      <c r="U68" s="124">
        <v>0</v>
      </c>
      <c r="V68" s="125">
        <v>0</v>
      </c>
      <c r="W68" s="123">
        <v>57030</v>
      </c>
      <c r="X68" s="124">
        <v>0</v>
      </c>
      <c r="Y68" s="125">
        <v>0</v>
      </c>
      <c r="Z68" s="123">
        <v>0</v>
      </c>
      <c r="AA68" s="124">
        <v>15</v>
      </c>
      <c r="AB68" s="125">
        <v>0</v>
      </c>
      <c r="AC68" s="123">
        <v>38960</v>
      </c>
      <c r="AD68" s="124">
        <v>0</v>
      </c>
      <c r="AE68" s="125">
        <v>0</v>
      </c>
      <c r="AF68" s="123">
        <v>50110</v>
      </c>
      <c r="AG68" s="124">
        <v>0</v>
      </c>
      <c r="AH68" s="265">
        <f>+Janvier!AJ68</f>
        <v>88119.9</v>
      </c>
      <c r="AI68" s="231">
        <f>+Janvier!AK68</f>
        <v>305254.47115384619</v>
      </c>
      <c r="AJ68" s="231">
        <f>+Janvier!AL68</f>
        <v>203299.47778846158</v>
      </c>
      <c r="AK68" s="231">
        <f>+Janvier!AM68</f>
        <v>203299.47778846158</v>
      </c>
      <c r="AL68" s="231">
        <f>+Janvier!AN68</f>
        <v>128206.87788461539</v>
      </c>
      <c r="AM68" s="231">
        <f>+Janvier!AO68</f>
        <v>76313.617788461546</v>
      </c>
      <c r="AN68" s="231">
        <f>+Janvier!AP68</f>
        <v>152627.23557692309</v>
      </c>
      <c r="AO68" s="231">
        <f>+Janvier!AQ68</f>
        <v>76313.617788461546</v>
      </c>
      <c r="AP68" s="231">
        <f>+Janvier!AR68</f>
        <v>76313.617788461546</v>
      </c>
      <c r="AQ68" s="231">
        <f>+Janvier!AS68</f>
        <v>136801.52307692307</v>
      </c>
      <c r="AR68" s="16">
        <f>ROUND(E68/(AH68/15),0)</f>
        <v>3</v>
      </c>
      <c r="AS68" s="16">
        <f t="shared" ref="AS68" si="107">ROUND(H68/(AI68/15),0)</f>
        <v>4</v>
      </c>
      <c r="AT68" s="16">
        <f t="shared" ref="AT68" si="108">ROUND(K68/(AJ68/15),0)</f>
        <v>3</v>
      </c>
      <c r="AU68" s="16">
        <f t="shared" ref="AU68" si="109">ROUND(N68/(AK68/15),0)</f>
        <v>4</v>
      </c>
      <c r="AV68" s="16">
        <f t="shared" ref="AV68" si="110">ROUND(Q68/(AL68/15),0)</f>
        <v>4</v>
      </c>
      <c r="AW68" s="16">
        <f t="shared" ref="AW68" si="111">ROUND(T68/(AM68/15),0)</f>
        <v>3</v>
      </c>
      <c r="AX68" s="16">
        <f t="shared" ref="AX68" si="112">ROUND(W68/(AN68/15),0)</f>
        <v>6</v>
      </c>
      <c r="AY68" s="16">
        <f t="shared" ref="AY68" si="113">ROUND(Z68/(AO68/15),0)</f>
        <v>0</v>
      </c>
      <c r="AZ68" s="16">
        <f t="shared" ref="AZ68" si="114">ROUND(AC68/(AP68/15),0)</f>
        <v>8</v>
      </c>
      <c r="BA68" s="17">
        <f t="shared" ref="BA68" si="115">ROUND(AF68/(AQ68/15),0)</f>
        <v>5</v>
      </c>
    </row>
    <row r="69" spans="1:53" ht="15.6" x14ac:dyDescent="0.3">
      <c r="A69" s="199" t="s">
        <v>63</v>
      </c>
      <c r="B69" s="257">
        <v>44013</v>
      </c>
      <c r="C69" s="94">
        <v>44035</v>
      </c>
      <c r="D69" s="237">
        <v>540</v>
      </c>
      <c r="E69" s="96">
        <v>300</v>
      </c>
      <c r="F69" s="97">
        <v>0</v>
      </c>
      <c r="G69" s="95">
        <v>1400</v>
      </c>
      <c r="H69" s="96">
        <v>400</v>
      </c>
      <c r="I69" s="97">
        <v>0</v>
      </c>
      <c r="J69" s="95">
        <v>2100</v>
      </c>
      <c r="K69" s="96">
        <v>1300</v>
      </c>
      <c r="L69" s="97">
        <v>0</v>
      </c>
      <c r="M69" s="95">
        <v>1800</v>
      </c>
      <c r="N69" s="96">
        <v>1928</v>
      </c>
      <c r="O69" s="97">
        <v>0</v>
      </c>
      <c r="P69" s="95">
        <v>600</v>
      </c>
      <c r="Q69" s="96">
        <v>174</v>
      </c>
      <c r="R69" s="97">
        <v>0</v>
      </c>
      <c r="S69" s="95">
        <v>200</v>
      </c>
      <c r="T69" s="96">
        <v>100</v>
      </c>
      <c r="U69" s="97">
        <v>0</v>
      </c>
      <c r="V69" s="95">
        <v>0</v>
      </c>
      <c r="W69" s="96">
        <v>590</v>
      </c>
      <c r="X69" s="97">
        <v>0</v>
      </c>
      <c r="Y69" s="95">
        <v>200</v>
      </c>
      <c r="Z69" s="96">
        <v>200</v>
      </c>
      <c r="AA69" s="97">
        <v>0</v>
      </c>
      <c r="AB69" s="95">
        <v>400</v>
      </c>
      <c r="AC69" s="96">
        <v>150</v>
      </c>
      <c r="AD69" s="97">
        <v>0</v>
      </c>
      <c r="AE69" s="95">
        <v>500</v>
      </c>
      <c r="AF69" s="96">
        <v>200</v>
      </c>
      <c r="AG69" s="97">
        <v>0</v>
      </c>
      <c r="AH69" s="265">
        <f>+Janvier!AJ69</f>
        <v>792.19780219780216</v>
      </c>
      <c r="AI69" s="231">
        <f>+Janvier!AK69</f>
        <v>2464.6153846153848</v>
      </c>
      <c r="AJ69" s="231">
        <f>+Janvier!AL69</f>
        <v>1848.4615384615383</v>
      </c>
      <c r="AK69" s="231">
        <f>+Janvier!AM69</f>
        <v>1848.4615384615383</v>
      </c>
      <c r="AL69" s="231">
        <f>+Janvier!AN69</f>
        <v>1120.2797202797203</v>
      </c>
      <c r="AM69" s="231">
        <f>+Janvier!AO69</f>
        <v>693.17307692307691</v>
      </c>
      <c r="AN69" s="231">
        <f>+Janvier!AP69</f>
        <v>1386.3461538461538</v>
      </c>
      <c r="AO69" s="231">
        <f>+Janvier!AQ69</f>
        <v>693.17307692307691</v>
      </c>
      <c r="AP69" s="231">
        <f>+Janvier!AR69</f>
        <v>693.17307692307691</v>
      </c>
      <c r="AQ69" s="231">
        <f>+Janvier!AS69</f>
        <v>1232.3076923076924</v>
      </c>
      <c r="AR69" s="16">
        <f t="shared" ref="AR69:AR79" si="116">ROUND(E69/(AH69/5),0)</f>
        <v>2</v>
      </c>
      <c r="AS69" s="16">
        <f t="shared" ref="AS69:AS79" si="117">ROUND(H69/(AI69/5),0)</f>
        <v>1</v>
      </c>
      <c r="AT69" s="16">
        <f t="shared" ref="AT69:AT79" si="118">ROUND(K69/(AJ69/5),0)</f>
        <v>4</v>
      </c>
      <c r="AU69" s="16">
        <f t="shared" ref="AU69:AU79" si="119">ROUND(N69/(AK69/5),0)</f>
        <v>5</v>
      </c>
      <c r="AV69" s="16">
        <f t="shared" ref="AV69:AV79" si="120">ROUND(Q69/(AL69/5),0)</f>
        <v>1</v>
      </c>
      <c r="AW69" s="16">
        <f t="shared" ref="AW69:AW79" si="121">ROUND(T69/(AM69/5),0)</f>
        <v>1</v>
      </c>
      <c r="AX69" s="16">
        <f t="shared" ref="AX69:AX79" si="122">ROUND(W69/(AN69/5),0)</f>
        <v>2</v>
      </c>
      <c r="AY69" s="16">
        <f t="shared" ref="AY69:AY79" si="123">ROUND(Z69/(AO69/5),0)</f>
        <v>1</v>
      </c>
      <c r="AZ69" s="16">
        <f t="shared" ref="AZ69:AZ79" si="124">ROUND(AC69/(AP69/5),0)</f>
        <v>1</v>
      </c>
      <c r="BA69" s="17">
        <f t="shared" ref="BA69:BA79" si="125">ROUND(AF69/(AQ69/5),0)</f>
        <v>1</v>
      </c>
    </row>
    <row r="70" spans="1:53" ht="15.6" x14ac:dyDescent="0.3">
      <c r="A70" s="199" t="s">
        <v>64</v>
      </c>
      <c r="B70" s="257">
        <v>44013</v>
      </c>
      <c r="C70" s="94">
        <v>44035</v>
      </c>
      <c r="D70" s="237">
        <v>2200</v>
      </c>
      <c r="E70" s="96">
        <v>180</v>
      </c>
      <c r="F70" s="97">
        <v>0</v>
      </c>
      <c r="G70" s="95">
        <v>5380</v>
      </c>
      <c r="H70" s="96">
        <v>800</v>
      </c>
      <c r="I70" s="97">
        <v>0</v>
      </c>
      <c r="J70" s="95">
        <v>4160</v>
      </c>
      <c r="K70" s="96">
        <v>200</v>
      </c>
      <c r="L70" s="97">
        <v>0</v>
      </c>
      <c r="M70" s="95">
        <v>3860</v>
      </c>
      <c r="N70" s="96">
        <v>200</v>
      </c>
      <c r="O70" s="97">
        <v>0</v>
      </c>
      <c r="P70" s="95">
        <v>2700</v>
      </c>
      <c r="Q70" s="96">
        <v>200</v>
      </c>
      <c r="R70" s="97">
        <v>0</v>
      </c>
      <c r="S70" s="95">
        <v>1320</v>
      </c>
      <c r="T70" s="96">
        <v>50</v>
      </c>
      <c r="U70" s="97">
        <v>0</v>
      </c>
      <c r="V70" s="95">
        <v>2340</v>
      </c>
      <c r="W70" s="96">
        <v>900</v>
      </c>
      <c r="X70" s="97">
        <v>0</v>
      </c>
      <c r="Y70" s="95">
        <v>1290</v>
      </c>
      <c r="Z70" s="96">
        <v>300</v>
      </c>
      <c r="AA70" s="97">
        <v>0</v>
      </c>
      <c r="AB70" s="95">
        <v>1290</v>
      </c>
      <c r="AC70" s="96">
        <v>170</v>
      </c>
      <c r="AD70" s="97">
        <v>0</v>
      </c>
      <c r="AE70" s="95">
        <v>2050</v>
      </c>
      <c r="AF70" s="96">
        <v>50</v>
      </c>
      <c r="AG70" s="97">
        <v>0</v>
      </c>
      <c r="AH70" s="265">
        <f>+Janvier!AJ70</f>
        <v>1980.7417582417584</v>
      </c>
      <c r="AI70" s="231">
        <f>+Janvier!AK70</f>
        <v>6162.3076923076933</v>
      </c>
      <c r="AJ70" s="231">
        <f>+Janvier!AL70</f>
        <v>4621.7307692307704</v>
      </c>
      <c r="AK70" s="231">
        <f>+Janvier!AM70</f>
        <v>4621.7307692307704</v>
      </c>
      <c r="AL70" s="231">
        <f>+Janvier!AN70</f>
        <v>2801.0489510489515</v>
      </c>
      <c r="AM70" s="231">
        <f>+Janvier!AO70</f>
        <v>1733.1490384615383</v>
      </c>
      <c r="AN70" s="231">
        <f>+Janvier!AP70</f>
        <v>3466.2980769230767</v>
      </c>
      <c r="AO70" s="231">
        <f>+Janvier!AQ70</f>
        <v>1733.1490384615383</v>
      </c>
      <c r="AP70" s="231">
        <f>+Janvier!AR70</f>
        <v>1733.1490384615383</v>
      </c>
      <c r="AQ70" s="231">
        <f>+Janvier!AS70</f>
        <v>3081.1538461538466</v>
      </c>
      <c r="AR70" s="16">
        <f t="shared" si="116"/>
        <v>0</v>
      </c>
      <c r="AS70" s="16">
        <f t="shared" si="117"/>
        <v>1</v>
      </c>
      <c r="AT70" s="16">
        <f t="shared" si="118"/>
        <v>0</v>
      </c>
      <c r="AU70" s="16">
        <f t="shared" si="119"/>
        <v>0</v>
      </c>
      <c r="AV70" s="16">
        <f t="shared" si="120"/>
        <v>0</v>
      </c>
      <c r="AW70" s="16">
        <f t="shared" si="121"/>
        <v>0</v>
      </c>
      <c r="AX70" s="16">
        <f t="shared" si="122"/>
        <v>1</v>
      </c>
      <c r="AY70" s="16">
        <f t="shared" si="123"/>
        <v>1</v>
      </c>
      <c r="AZ70" s="16">
        <f t="shared" si="124"/>
        <v>0</v>
      </c>
      <c r="BA70" s="17">
        <f t="shared" si="125"/>
        <v>0</v>
      </c>
    </row>
    <row r="71" spans="1:53" ht="15.6" x14ac:dyDescent="0.3">
      <c r="A71" s="199" t="s">
        <v>65</v>
      </c>
      <c r="B71" s="257">
        <v>44013</v>
      </c>
      <c r="C71" s="94">
        <v>44035</v>
      </c>
      <c r="D71" s="237">
        <v>2300</v>
      </c>
      <c r="E71" s="96">
        <v>600</v>
      </c>
      <c r="F71" s="97">
        <v>0</v>
      </c>
      <c r="G71" s="95">
        <v>6300</v>
      </c>
      <c r="H71" s="96">
        <v>720</v>
      </c>
      <c r="I71" s="97">
        <v>0</v>
      </c>
      <c r="J71" s="95">
        <v>5620</v>
      </c>
      <c r="K71" s="96">
        <v>540</v>
      </c>
      <c r="L71" s="97">
        <v>0</v>
      </c>
      <c r="M71" s="95">
        <v>4712</v>
      </c>
      <c r="N71" s="96">
        <v>40</v>
      </c>
      <c r="O71" s="97">
        <v>0</v>
      </c>
      <c r="P71" s="95">
        <v>3326</v>
      </c>
      <c r="Q71" s="96">
        <v>290</v>
      </c>
      <c r="R71" s="97">
        <v>0</v>
      </c>
      <c r="S71" s="95">
        <v>1370</v>
      </c>
      <c r="T71" s="96">
        <v>220</v>
      </c>
      <c r="U71" s="97">
        <v>0</v>
      </c>
      <c r="V71" s="95">
        <v>4120</v>
      </c>
      <c r="W71" s="96">
        <v>540</v>
      </c>
      <c r="X71" s="97">
        <v>0</v>
      </c>
      <c r="Y71" s="95">
        <v>1500</v>
      </c>
      <c r="Z71" s="96">
        <v>0</v>
      </c>
      <c r="AA71" s="97">
        <v>10</v>
      </c>
      <c r="AB71" s="95">
        <v>2680</v>
      </c>
      <c r="AC71" s="96">
        <v>270</v>
      </c>
      <c r="AD71" s="97">
        <v>0</v>
      </c>
      <c r="AE71" s="95">
        <v>4010</v>
      </c>
      <c r="AF71" s="96">
        <v>1350</v>
      </c>
      <c r="AG71" s="97">
        <v>0</v>
      </c>
      <c r="AH71" s="265">
        <f>+Janvier!AJ71</f>
        <v>2906.4560439560446</v>
      </c>
      <c r="AI71" s="231">
        <f>+Janvier!AK71</f>
        <v>9042.3076923076933</v>
      </c>
      <c r="AJ71" s="231">
        <f>+Janvier!AL71</f>
        <v>6781.7307692307695</v>
      </c>
      <c r="AK71" s="231">
        <f>+Janvier!AM71</f>
        <v>6781.7307692307695</v>
      </c>
      <c r="AL71" s="231">
        <f>+Janvier!AN71</f>
        <v>4110.1398601398605</v>
      </c>
      <c r="AM71" s="231">
        <f>+Janvier!AO71</f>
        <v>2543.1490384615386</v>
      </c>
      <c r="AN71" s="231">
        <f>+Janvier!AP71</f>
        <v>5086.2980769230771</v>
      </c>
      <c r="AO71" s="231">
        <f>+Janvier!AQ71</f>
        <v>2543.1490384615386</v>
      </c>
      <c r="AP71" s="231">
        <f>+Janvier!AR71</f>
        <v>2543.1490384615386</v>
      </c>
      <c r="AQ71" s="231">
        <f>+Janvier!AS71</f>
        <v>4521.1538461538466</v>
      </c>
      <c r="AR71" s="16">
        <f t="shared" si="116"/>
        <v>1</v>
      </c>
      <c r="AS71" s="16">
        <f t="shared" si="117"/>
        <v>0</v>
      </c>
      <c r="AT71" s="16">
        <f t="shared" si="118"/>
        <v>0</v>
      </c>
      <c r="AU71" s="16">
        <f t="shared" si="119"/>
        <v>0</v>
      </c>
      <c r="AV71" s="16">
        <f t="shared" si="120"/>
        <v>0</v>
      </c>
      <c r="AW71" s="16">
        <f t="shared" si="121"/>
        <v>0</v>
      </c>
      <c r="AX71" s="16">
        <f t="shared" si="122"/>
        <v>1</v>
      </c>
      <c r="AY71" s="16">
        <f t="shared" si="123"/>
        <v>0</v>
      </c>
      <c r="AZ71" s="16">
        <f t="shared" si="124"/>
        <v>1</v>
      </c>
      <c r="BA71" s="17">
        <f t="shared" si="125"/>
        <v>1</v>
      </c>
    </row>
    <row r="72" spans="1:53" ht="15.6" x14ac:dyDescent="0.3">
      <c r="A72" s="203" t="s">
        <v>66</v>
      </c>
      <c r="B72" s="257">
        <v>44013</v>
      </c>
      <c r="C72" s="94">
        <v>44035</v>
      </c>
      <c r="D72" s="237">
        <v>1640</v>
      </c>
      <c r="E72" s="96">
        <v>1040</v>
      </c>
      <c r="F72" s="97">
        <v>0</v>
      </c>
      <c r="G72" s="95">
        <v>3000</v>
      </c>
      <c r="H72" s="96">
        <v>2420</v>
      </c>
      <c r="I72" s="97">
        <v>0</v>
      </c>
      <c r="J72" s="95">
        <v>3000</v>
      </c>
      <c r="K72" s="96">
        <v>1500</v>
      </c>
      <c r="L72" s="97">
        <v>0</v>
      </c>
      <c r="M72" s="95">
        <v>2750</v>
      </c>
      <c r="N72" s="96">
        <v>1340</v>
      </c>
      <c r="O72" s="97">
        <v>0</v>
      </c>
      <c r="P72" s="95">
        <v>2000</v>
      </c>
      <c r="Q72" s="96">
        <v>922</v>
      </c>
      <c r="R72" s="97">
        <v>0</v>
      </c>
      <c r="S72" s="95">
        <v>1000</v>
      </c>
      <c r="T72" s="96">
        <v>1020</v>
      </c>
      <c r="U72" s="97">
        <v>0</v>
      </c>
      <c r="V72" s="95">
        <v>2000</v>
      </c>
      <c r="W72" s="96">
        <v>2450</v>
      </c>
      <c r="X72" s="97">
        <v>0</v>
      </c>
      <c r="Y72" s="95">
        <v>1500</v>
      </c>
      <c r="Z72" s="96">
        <v>1240</v>
      </c>
      <c r="AA72" s="97">
        <v>0</v>
      </c>
      <c r="AB72" s="95">
        <v>1800</v>
      </c>
      <c r="AC72" s="96">
        <v>810</v>
      </c>
      <c r="AD72" s="97">
        <v>0</v>
      </c>
      <c r="AE72" s="95">
        <v>2620</v>
      </c>
      <c r="AF72" s="96">
        <v>2490</v>
      </c>
      <c r="AG72" s="97">
        <v>0</v>
      </c>
      <c r="AH72" s="265">
        <f>+Janvier!AJ72</f>
        <v>2692.335164835165</v>
      </c>
      <c r="AI72" s="231">
        <f>+Janvier!AK72</f>
        <v>8376.1538461538457</v>
      </c>
      <c r="AJ72" s="231">
        <f>+Janvier!AL72</f>
        <v>6282.1153846153857</v>
      </c>
      <c r="AK72" s="231">
        <f>+Janvier!AM72</f>
        <v>6282.1153846153857</v>
      </c>
      <c r="AL72" s="231">
        <f>+Janvier!AN72</f>
        <v>3807.3426573426577</v>
      </c>
      <c r="AM72" s="231">
        <f>+Janvier!AO72</f>
        <v>2355.7932692307695</v>
      </c>
      <c r="AN72" s="231">
        <f>+Janvier!AP72</f>
        <v>4711.586538461539</v>
      </c>
      <c r="AO72" s="231">
        <f>+Janvier!AQ72</f>
        <v>2355.7932692307695</v>
      </c>
      <c r="AP72" s="231">
        <f>+Janvier!AR72</f>
        <v>2355.7932692307695</v>
      </c>
      <c r="AQ72" s="231">
        <f>+Janvier!AS72</f>
        <v>4188.0769230769229</v>
      </c>
      <c r="AR72" s="16">
        <f t="shared" si="116"/>
        <v>2</v>
      </c>
      <c r="AS72" s="16">
        <f t="shared" si="117"/>
        <v>1</v>
      </c>
      <c r="AT72" s="16">
        <f t="shared" si="118"/>
        <v>1</v>
      </c>
      <c r="AU72" s="16">
        <f t="shared" si="119"/>
        <v>1</v>
      </c>
      <c r="AV72" s="16">
        <f t="shared" si="120"/>
        <v>1</v>
      </c>
      <c r="AW72" s="16">
        <f t="shared" si="121"/>
        <v>2</v>
      </c>
      <c r="AX72" s="16">
        <f t="shared" si="122"/>
        <v>3</v>
      </c>
      <c r="AY72" s="16">
        <f t="shared" si="123"/>
        <v>3</v>
      </c>
      <c r="AZ72" s="16">
        <f t="shared" si="124"/>
        <v>2</v>
      </c>
      <c r="BA72" s="17">
        <f t="shared" si="125"/>
        <v>3</v>
      </c>
    </row>
    <row r="73" spans="1:53" ht="15.6" x14ac:dyDescent="0.3">
      <c r="A73" s="203" t="s">
        <v>67</v>
      </c>
      <c r="B73" s="257">
        <v>44013</v>
      </c>
      <c r="C73" s="94">
        <v>44035</v>
      </c>
      <c r="D73" s="237">
        <v>4560</v>
      </c>
      <c r="E73" s="96">
        <v>940</v>
      </c>
      <c r="F73" s="97">
        <v>0</v>
      </c>
      <c r="G73" s="95">
        <v>10640</v>
      </c>
      <c r="H73" s="96">
        <v>3200</v>
      </c>
      <c r="I73" s="97">
        <v>0</v>
      </c>
      <c r="J73" s="95">
        <v>8850</v>
      </c>
      <c r="K73" s="96">
        <v>1180</v>
      </c>
      <c r="L73" s="97">
        <v>0</v>
      </c>
      <c r="M73" s="95">
        <v>6720</v>
      </c>
      <c r="N73" s="96">
        <v>1840</v>
      </c>
      <c r="O73" s="97">
        <v>0</v>
      </c>
      <c r="P73" s="95">
        <v>4626</v>
      </c>
      <c r="Q73" s="96">
        <v>1522</v>
      </c>
      <c r="R73" s="97">
        <v>0</v>
      </c>
      <c r="S73" s="95">
        <v>3040</v>
      </c>
      <c r="T73" s="96">
        <v>180</v>
      </c>
      <c r="U73" s="97">
        <v>0</v>
      </c>
      <c r="V73" s="95">
        <v>5230</v>
      </c>
      <c r="W73" s="96">
        <v>1690</v>
      </c>
      <c r="X73" s="97">
        <v>0</v>
      </c>
      <c r="Y73" s="95">
        <v>1800</v>
      </c>
      <c r="Z73" s="96">
        <v>0</v>
      </c>
      <c r="AA73" s="97">
        <v>10</v>
      </c>
      <c r="AB73" s="95">
        <v>2800</v>
      </c>
      <c r="AC73" s="96">
        <v>360</v>
      </c>
      <c r="AD73" s="97">
        <v>0</v>
      </c>
      <c r="AE73" s="95">
        <v>5560</v>
      </c>
      <c r="AF73" s="96">
        <v>1930</v>
      </c>
      <c r="AG73" s="97">
        <v>0</v>
      </c>
      <c r="AH73" s="265">
        <f>+Janvier!AJ73</f>
        <v>4744.9038461538466</v>
      </c>
      <c r="AI73" s="231">
        <f>+Janvier!AK73</f>
        <v>14761.923076923076</v>
      </c>
      <c r="AJ73" s="231">
        <f>+Janvier!AL73</f>
        <v>11071.442307692309</v>
      </c>
      <c r="AK73" s="231">
        <f>+Janvier!AM73</f>
        <v>11071.442307692309</v>
      </c>
      <c r="AL73" s="231">
        <f>+Janvier!AN73</f>
        <v>6709.9650349650356</v>
      </c>
      <c r="AM73" s="231">
        <f>+Janvier!AO73</f>
        <v>4151.7908653846152</v>
      </c>
      <c r="AN73" s="231">
        <f>+Janvier!AP73</f>
        <v>8303.5817307692305</v>
      </c>
      <c r="AO73" s="231">
        <f>+Janvier!AQ73</f>
        <v>4151.7908653846152</v>
      </c>
      <c r="AP73" s="231">
        <f>+Janvier!AR73</f>
        <v>4151.7908653846152</v>
      </c>
      <c r="AQ73" s="231">
        <f>+Janvier!AS73</f>
        <v>7380.9615384615381</v>
      </c>
      <c r="AR73" s="16">
        <f t="shared" si="116"/>
        <v>1</v>
      </c>
      <c r="AS73" s="16">
        <f t="shared" si="117"/>
        <v>1</v>
      </c>
      <c r="AT73" s="16">
        <f t="shared" si="118"/>
        <v>1</v>
      </c>
      <c r="AU73" s="16">
        <f t="shared" si="119"/>
        <v>1</v>
      </c>
      <c r="AV73" s="16">
        <f t="shared" si="120"/>
        <v>1</v>
      </c>
      <c r="AW73" s="16">
        <f t="shared" si="121"/>
        <v>0</v>
      </c>
      <c r="AX73" s="16">
        <f t="shared" si="122"/>
        <v>1</v>
      </c>
      <c r="AY73" s="16">
        <f t="shared" si="123"/>
        <v>0</v>
      </c>
      <c r="AZ73" s="16">
        <f t="shared" si="124"/>
        <v>0</v>
      </c>
      <c r="BA73" s="17">
        <f t="shared" si="125"/>
        <v>1</v>
      </c>
    </row>
    <row r="74" spans="1:53" ht="15.6" x14ac:dyDescent="0.3">
      <c r="A74" s="203" t="s">
        <v>68</v>
      </c>
      <c r="B74" s="257">
        <v>44013</v>
      </c>
      <c r="C74" s="94">
        <v>44035</v>
      </c>
      <c r="D74" s="237">
        <v>3060</v>
      </c>
      <c r="E74" s="96">
        <v>460</v>
      </c>
      <c r="F74" s="97">
        <v>0</v>
      </c>
      <c r="G74" s="95">
        <v>8700</v>
      </c>
      <c r="H74" s="96">
        <v>380</v>
      </c>
      <c r="I74" s="97">
        <v>0</v>
      </c>
      <c r="J74" s="95">
        <v>6480</v>
      </c>
      <c r="K74" s="96">
        <v>10</v>
      </c>
      <c r="L74" s="97">
        <v>0</v>
      </c>
      <c r="M74" s="95">
        <v>6292</v>
      </c>
      <c r="N74" s="96">
        <v>4</v>
      </c>
      <c r="O74" s="97">
        <v>0</v>
      </c>
      <c r="P74" s="95">
        <v>4186</v>
      </c>
      <c r="Q74" s="96">
        <v>4</v>
      </c>
      <c r="R74" s="97">
        <v>0</v>
      </c>
      <c r="S74" s="95">
        <v>2490</v>
      </c>
      <c r="T74" s="96">
        <v>190</v>
      </c>
      <c r="U74" s="97">
        <v>0</v>
      </c>
      <c r="V74" s="95">
        <v>5430</v>
      </c>
      <c r="W74" s="96">
        <v>110</v>
      </c>
      <c r="X74" s="97">
        <v>0</v>
      </c>
      <c r="Y74" s="95">
        <v>2620</v>
      </c>
      <c r="Z74" s="96">
        <v>10</v>
      </c>
      <c r="AA74" s="97">
        <v>0</v>
      </c>
      <c r="AB74" s="95">
        <v>2600</v>
      </c>
      <c r="AC74" s="96">
        <v>40</v>
      </c>
      <c r="AD74" s="97">
        <v>0</v>
      </c>
      <c r="AE74" s="95">
        <v>3090</v>
      </c>
      <c r="AF74" s="96">
        <v>90</v>
      </c>
      <c r="AG74" s="97">
        <v>0</v>
      </c>
      <c r="AH74" s="265">
        <f>+Janvier!AJ74</f>
        <v>3278.4478021978025</v>
      </c>
      <c r="AI74" s="231">
        <f>+Janvier!AK74</f>
        <v>10199.615384615387</v>
      </c>
      <c r="AJ74" s="231">
        <f>+Janvier!AL74</f>
        <v>7649.7115384615381</v>
      </c>
      <c r="AK74" s="231">
        <f>+Janvier!AM74</f>
        <v>7649.7115384615381</v>
      </c>
      <c r="AL74" s="231">
        <f>+Janvier!AN74</f>
        <v>4636.188811188812</v>
      </c>
      <c r="AM74" s="231">
        <f>+Janvier!AO74</f>
        <v>2868.6418269230771</v>
      </c>
      <c r="AN74" s="231">
        <f>+Janvier!AP74</f>
        <v>5737.2836538461543</v>
      </c>
      <c r="AO74" s="231">
        <f>+Janvier!AQ74</f>
        <v>2868.6418269230771</v>
      </c>
      <c r="AP74" s="231">
        <f>+Janvier!AR74</f>
        <v>2868.6418269230771</v>
      </c>
      <c r="AQ74" s="231">
        <f>+Janvier!AS74</f>
        <v>5099.8076923076933</v>
      </c>
      <c r="AR74" s="16">
        <f t="shared" si="116"/>
        <v>1</v>
      </c>
      <c r="AS74" s="16">
        <f t="shared" si="117"/>
        <v>0</v>
      </c>
      <c r="AT74" s="16">
        <f t="shared" si="118"/>
        <v>0</v>
      </c>
      <c r="AU74" s="16">
        <f t="shared" si="119"/>
        <v>0</v>
      </c>
      <c r="AV74" s="16">
        <f t="shared" si="120"/>
        <v>0</v>
      </c>
      <c r="AW74" s="16">
        <f t="shared" si="121"/>
        <v>0</v>
      </c>
      <c r="AX74" s="16">
        <f t="shared" si="122"/>
        <v>0</v>
      </c>
      <c r="AY74" s="16">
        <f t="shared" si="123"/>
        <v>0</v>
      </c>
      <c r="AZ74" s="16">
        <f t="shared" si="124"/>
        <v>0</v>
      </c>
      <c r="BA74" s="17">
        <f t="shared" si="125"/>
        <v>0</v>
      </c>
    </row>
    <row r="75" spans="1:53" ht="15.6" x14ac:dyDescent="0.3">
      <c r="A75" s="203" t="s">
        <v>69</v>
      </c>
      <c r="B75" s="257">
        <v>44013</v>
      </c>
      <c r="C75" s="94">
        <v>44035</v>
      </c>
      <c r="D75" s="237">
        <v>3100</v>
      </c>
      <c r="E75" s="96">
        <v>1040</v>
      </c>
      <c r="F75" s="97">
        <v>0</v>
      </c>
      <c r="G75" s="95">
        <v>8000</v>
      </c>
      <c r="H75" s="96">
        <v>2560</v>
      </c>
      <c r="I75" s="97">
        <v>0</v>
      </c>
      <c r="J75" s="95">
        <v>6000</v>
      </c>
      <c r="K75" s="96">
        <v>1210</v>
      </c>
      <c r="L75" s="97">
        <v>0</v>
      </c>
      <c r="M75" s="95">
        <v>6000</v>
      </c>
      <c r="N75" s="96">
        <v>1080</v>
      </c>
      <c r="O75" s="97">
        <v>0</v>
      </c>
      <c r="P75" s="95">
        <v>3732</v>
      </c>
      <c r="Q75" s="96">
        <v>509</v>
      </c>
      <c r="R75" s="97">
        <v>0</v>
      </c>
      <c r="S75" s="95">
        <v>2500</v>
      </c>
      <c r="T75" s="96">
        <v>470</v>
      </c>
      <c r="U75" s="97">
        <v>0</v>
      </c>
      <c r="V75" s="95">
        <v>4000</v>
      </c>
      <c r="W75" s="96">
        <v>1580</v>
      </c>
      <c r="X75" s="97">
        <v>0</v>
      </c>
      <c r="Y75" s="95">
        <v>2340</v>
      </c>
      <c r="Z75" s="96">
        <v>0</v>
      </c>
      <c r="AA75" s="97">
        <v>7</v>
      </c>
      <c r="AB75" s="95">
        <v>3370</v>
      </c>
      <c r="AC75" s="96">
        <v>260</v>
      </c>
      <c r="AD75" s="97">
        <v>0</v>
      </c>
      <c r="AE75" s="95">
        <v>3600</v>
      </c>
      <c r="AF75" s="96">
        <v>1410</v>
      </c>
      <c r="AG75" s="97">
        <v>0</v>
      </c>
      <c r="AH75" s="265">
        <f>+Janvier!AJ75</f>
        <v>4167.9395604395613</v>
      </c>
      <c r="AI75" s="231">
        <f>+Janvier!AK75</f>
        <v>12966.923076923082</v>
      </c>
      <c r="AJ75" s="231">
        <f>+Janvier!AL75</f>
        <v>9725.1923076923085</v>
      </c>
      <c r="AK75" s="231">
        <f>+Janvier!AM75</f>
        <v>9725.1923076923085</v>
      </c>
      <c r="AL75" s="231">
        <f>+Janvier!AN75</f>
        <v>5894.0559440559446</v>
      </c>
      <c r="AM75" s="231">
        <f>+Janvier!AO75</f>
        <v>3646.9471153846152</v>
      </c>
      <c r="AN75" s="231">
        <f>+Janvier!AP75</f>
        <v>7293.8942307692305</v>
      </c>
      <c r="AO75" s="231">
        <f>+Janvier!AQ75</f>
        <v>3646.9471153846152</v>
      </c>
      <c r="AP75" s="231">
        <f>+Janvier!AR75</f>
        <v>3646.9471153846152</v>
      </c>
      <c r="AQ75" s="231">
        <f>+Janvier!AS75</f>
        <v>6483.4615384615408</v>
      </c>
      <c r="AR75" s="16">
        <f t="shared" si="116"/>
        <v>1</v>
      </c>
      <c r="AS75" s="16">
        <f t="shared" si="117"/>
        <v>1</v>
      </c>
      <c r="AT75" s="16">
        <f t="shared" si="118"/>
        <v>1</v>
      </c>
      <c r="AU75" s="16">
        <f t="shared" si="119"/>
        <v>1</v>
      </c>
      <c r="AV75" s="16">
        <f t="shared" si="120"/>
        <v>0</v>
      </c>
      <c r="AW75" s="16">
        <f t="shared" si="121"/>
        <v>1</v>
      </c>
      <c r="AX75" s="16">
        <f t="shared" si="122"/>
        <v>1</v>
      </c>
      <c r="AY75" s="16">
        <f t="shared" si="123"/>
        <v>0</v>
      </c>
      <c r="AZ75" s="16">
        <f t="shared" si="124"/>
        <v>0</v>
      </c>
      <c r="BA75" s="17">
        <f t="shared" si="125"/>
        <v>1</v>
      </c>
    </row>
    <row r="76" spans="1:53" ht="15.6" x14ac:dyDescent="0.3">
      <c r="A76" s="203" t="s">
        <v>70</v>
      </c>
      <c r="B76" s="257">
        <v>44013</v>
      </c>
      <c r="C76" s="94">
        <v>44035</v>
      </c>
      <c r="D76" s="237">
        <v>2140</v>
      </c>
      <c r="E76" s="96">
        <v>140</v>
      </c>
      <c r="F76" s="97">
        <v>0</v>
      </c>
      <c r="G76" s="95">
        <v>5720</v>
      </c>
      <c r="H76" s="96">
        <v>760</v>
      </c>
      <c r="I76" s="97">
        <v>0</v>
      </c>
      <c r="J76" s="95">
        <v>4990</v>
      </c>
      <c r="K76" s="96">
        <v>430</v>
      </c>
      <c r="L76" s="97">
        <v>0</v>
      </c>
      <c r="M76" s="95">
        <v>4912</v>
      </c>
      <c r="N76" s="96">
        <v>680</v>
      </c>
      <c r="O76" s="97">
        <v>0</v>
      </c>
      <c r="P76" s="95">
        <v>3249</v>
      </c>
      <c r="Q76" s="96">
        <v>98</v>
      </c>
      <c r="R76" s="97">
        <v>0</v>
      </c>
      <c r="S76" s="95">
        <v>1670</v>
      </c>
      <c r="T76" s="96">
        <v>160</v>
      </c>
      <c r="U76" s="97">
        <v>0</v>
      </c>
      <c r="V76" s="95">
        <v>3680</v>
      </c>
      <c r="W76" s="96">
        <v>1020</v>
      </c>
      <c r="X76" s="97">
        <v>0</v>
      </c>
      <c r="Y76" s="95">
        <v>1500</v>
      </c>
      <c r="Z76" s="96">
        <v>60</v>
      </c>
      <c r="AA76" s="97">
        <v>0</v>
      </c>
      <c r="AB76" s="95">
        <v>1670</v>
      </c>
      <c r="AC76" s="96">
        <v>190</v>
      </c>
      <c r="AD76" s="97">
        <v>0</v>
      </c>
      <c r="AE76" s="95">
        <v>3150</v>
      </c>
      <c r="AF76" s="96">
        <v>780</v>
      </c>
      <c r="AG76" s="97">
        <v>0</v>
      </c>
      <c r="AH76" s="265">
        <f>+Janvier!AJ76</f>
        <v>2027.1016483516485</v>
      </c>
      <c r="AI76" s="231">
        <f>+Janvier!AK76</f>
        <v>6306.5384615384628</v>
      </c>
      <c r="AJ76" s="231">
        <f>+Janvier!AL76</f>
        <v>4729.9038461538466</v>
      </c>
      <c r="AK76" s="231">
        <f>+Janvier!AM76</f>
        <v>4729.9038461538466</v>
      </c>
      <c r="AL76" s="231">
        <f>+Janvier!AN76</f>
        <v>2866.6083916083921</v>
      </c>
      <c r="AM76" s="231">
        <f>+Janvier!AO76</f>
        <v>1773.7139423076924</v>
      </c>
      <c r="AN76" s="231">
        <f>+Janvier!AP76</f>
        <v>3547.4278846153848</v>
      </c>
      <c r="AO76" s="231">
        <f>+Janvier!AQ76</f>
        <v>1773.7139423076924</v>
      </c>
      <c r="AP76" s="231">
        <f>+Janvier!AR76</f>
        <v>1773.7139423076924</v>
      </c>
      <c r="AQ76" s="231">
        <f>+Janvier!AS76</f>
        <v>3153.2692307692314</v>
      </c>
      <c r="AR76" s="16">
        <f t="shared" si="116"/>
        <v>0</v>
      </c>
      <c r="AS76" s="16">
        <f t="shared" si="117"/>
        <v>1</v>
      </c>
      <c r="AT76" s="16">
        <f t="shared" si="118"/>
        <v>0</v>
      </c>
      <c r="AU76" s="16">
        <f t="shared" si="119"/>
        <v>1</v>
      </c>
      <c r="AV76" s="16">
        <f t="shared" si="120"/>
        <v>0</v>
      </c>
      <c r="AW76" s="16">
        <f t="shared" si="121"/>
        <v>0</v>
      </c>
      <c r="AX76" s="16">
        <f t="shared" si="122"/>
        <v>1</v>
      </c>
      <c r="AY76" s="16">
        <f t="shared" si="123"/>
        <v>0</v>
      </c>
      <c r="AZ76" s="16">
        <f t="shared" si="124"/>
        <v>1</v>
      </c>
      <c r="BA76" s="17">
        <f t="shared" si="125"/>
        <v>1</v>
      </c>
    </row>
    <row r="77" spans="1:53" ht="15.6" x14ac:dyDescent="0.3">
      <c r="A77" s="203" t="s">
        <v>71</v>
      </c>
      <c r="B77" s="257">
        <v>44013</v>
      </c>
      <c r="C77" s="94">
        <v>44035</v>
      </c>
      <c r="D77" s="237">
        <v>3880</v>
      </c>
      <c r="E77" s="96">
        <v>2780</v>
      </c>
      <c r="F77" s="97">
        <v>0</v>
      </c>
      <c r="G77" s="95">
        <v>4740</v>
      </c>
      <c r="H77" s="96">
        <v>3100</v>
      </c>
      <c r="I77" s="97">
        <v>0</v>
      </c>
      <c r="J77" s="95">
        <v>6580</v>
      </c>
      <c r="K77" s="96">
        <v>5150</v>
      </c>
      <c r="L77" s="97">
        <v>0</v>
      </c>
      <c r="M77" s="95">
        <v>5560</v>
      </c>
      <c r="N77" s="96">
        <v>2776</v>
      </c>
      <c r="O77" s="97">
        <v>0</v>
      </c>
      <c r="P77" s="95">
        <v>4255</v>
      </c>
      <c r="Q77" s="96">
        <v>475</v>
      </c>
      <c r="R77" s="97">
        <v>0</v>
      </c>
      <c r="S77" s="95">
        <v>2660</v>
      </c>
      <c r="T77" s="96">
        <v>1790</v>
      </c>
      <c r="U77" s="97">
        <v>0</v>
      </c>
      <c r="V77" s="95">
        <v>5340</v>
      </c>
      <c r="W77" s="96">
        <v>4650</v>
      </c>
      <c r="X77" s="97">
        <v>0</v>
      </c>
      <c r="Y77" s="95">
        <v>2830</v>
      </c>
      <c r="Z77" s="96">
        <v>3200</v>
      </c>
      <c r="AA77" s="97">
        <v>0</v>
      </c>
      <c r="AB77" s="95">
        <v>3410</v>
      </c>
      <c r="AC77" s="96">
        <v>2210</v>
      </c>
      <c r="AD77" s="97">
        <v>0</v>
      </c>
      <c r="AE77" s="95">
        <v>3460</v>
      </c>
      <c r="AF77" s="96">
        <v>4970</v>
      </c>
      <c r="AG77" s="97">
        <v>0</v>
      </c>
      <c r="AH77" s="265">
        <f>+Janvier!AJ77</f>
        <v>3524.4642857142853</v>
      </c>
      <c r="AI77" s="231">
        <f>+Janvier!AK77</f>
        <v>10965.000000000002</v>
      </c>
      <c r="AJ77" s="231">
        <f>+Janvier!AL77</f>
        <v>8223.75</v>
      </c>
      <c r="AK77" s="231">
        <f>+Janvier!AM77</f>
        <v>8223.75</v>
      </c>
      <c r="AL77" s="231">
        <f>+Janvier!AN77</f>
        <v>4984.0909090909099</v>
      </c>
      <c r="AM77" s="231">
        <f>+Janvier!AO77</f>
        <v>3083.9062500000005</v>
      </c>
      <c r="AN77" s="231">
        <f>+Janvier!AP77</f>
        <v>6167.8125000000009</v>
      </c>
      <c r="AO77" s="231">
        <f>+Janvier!AQ77</f>
        <v>3083.9062500000005</v>
      </c>
      <c r="AP77" s="231">
        <f>+Janvier!AR77</f>
        <v>3083.9062500000005</v>
      </c>
      <c r="AQ77" s="231">
        <f>+Janvier!AS77</f>
        <v>5482.5000000000009</v>
      </c>
      <c r="AR77" s="16">
        <f t="shared" si="116"/>
        <v>4</v>
      </c>
      <c r="AS77" s="16">
        <f t="shared" si="117"/>
        <v>1</v>
      </c>
      <c r="AT77" s="16">
        <f t="shared" si="118"/>
        <v>3</v>
      </c>
      <c r="AU77" s="16">
        <f t="shared" si="119"/>
        <v>2</v>
      </c>
      <c r="AV77" s="16">
        <f t="shared" si="120"/>
        <v>0</v>
      </c>
      <c r="AW77" s="16">
        <f t="shared" si="121"/>
        <v>3</v>
      </c>
      <c r="AX77" s="16">
        <f t="shared" si="122"/>
        <v>4</v>
      </c>
      <c r="AY77" s="16">
        <f t="shared" si="123"/>
        <v>5</v>
      </c>
      <c r="AZ77" s="16">
        <f t="shared" si="124"/>
        <v>4</v>
      </c>
      <c r="BA77" s="17">
        <f t="shared" si="125"/>
        <v>5</v>
      </c>
    </row>
    <row r="78" spans="1:53" ht="15.6" x14ac:dyDescent="0.3">
      <c r="A78" s="203" t="s">
        <v>72</v>
      </c>
      <c r="B78" s="257">
        <v>44013</v>
      </c>
      <c r="C78" s="94">
        <v>44035</v>
      </c>
      <c r="D78" s="237">
        <v>200</v>
      </c>
      <c r="E78" s="96">
        <v>120</v>
      </c>
      <c r="F78" s="97">
        <v>0</v>
      </c>
      <c r="G78" s="95">
        <v>1000</v>
      </c>
      <c r="H78" s="96">
        <v>80</v>
      </c>
      <c r="I78" s="97">
        <v>0</v>
      </c>
      <c r="J78" s="95">
        <v>200</v>
      </c>
      <c r="K78" s="96">
        <v>300</v>
      </c>
      <c r="L78" s="97">
        <v>0</v>
      </c>
      <c r="M78" s="95">
        <v>200</v>
      </c>
      <c r="N78" s="96">
        <v>200</v>
      </c>
      <c r="O78" s="97">
        <v>0</v>
      </c>
      <c r="P78" s="95">
        <v>0</v>
      </c>
      <c r="Q78" s="96">
        <v>33</v>
      </c>
      <c r="R78" s="97">
        <v>0</v>
      </c>
      <c r="S78" s="95">
        <v>300</v>
      </c>
      <c r="T78" s="96">
        <v>580</v>
      </c>
      <c r="U78" s="97">
        <v>0</v>
      </c>
      <c r="V78" s="95">
        <v>500</v>
      </c>
      <c r="W78" s="96">
        <v>440</v>
      </c>
      <c r="X78" s="97">
        <v>0</v>
      </c>
      <c r="Y78" s="95">
        <v>0</v>
      </c>
      <c r="Z78" s="96">
        <v>70</v>
      </c>
      <c r="AA78" s="97">
        <v>0</v>
      </c>
      <c r="AB78" s="95">
        <v>500</v>
      </c>
      <c r="AC78" s="96">
        <v>390</v>
      </c>
      <c r="AD78" s="97">
        <v>0</v>
      </c>
      <c r="AE78" s="95">
        <v>200</v>
      </c>
      <c r="AF78" s="96">
        <v>450</v>
      </c>
      <c r="AG78" s="97">
        <v>0</v>
      </c>
      <c r="AH78" s="265">
        <f>+Janvier!AJ78</f>
        <v>304.98626373626377</v>
      </c>
      <c r="AI78" s="231">
        <f>+Janvier!AK78</f>
        <v>948.84615384615404</v>
      </c>
      <c r="AJ78" s="231">
        <f>+Janvier!AL78</f>
        <v>711.63461538461547</v>
      </c>
      <c r="AK78" s="231">
        <f>+Janvier!AM78</f>
        <v>711.63461538461547</v>
      </c>
      <c r="AL78" s="231">
        <f>+Janvier!AN78</f>
        <v>431.29370629370635</v>
      </c>
      <c r="AM78" s="231">
        <f>+Janvier!AO78</f>
        <v>266.86298076923077</v>
      </c>
      <c r="AN78" s="231">
        <f>+Janvier!AP78</f>
        <v>533.72596153846155</v>
      </c>
      <c r="AO78" s="231">
        <f>+Janvier!AQ78</f>
        <v>266.86298076923077</v>
      </c>
      <c r="AP78" s="231">
        <f>+Janvier!AR78</f>
        <v>266.86298076923077</v>
      </c>
      <c r="AQ78" s="231">
        <f>+Janvier!AS78</f>
        <v>474.42307692307702</v>
      </c>
      <c r="AR78" s="16">
        <f t="shared" si="116"/>
        <v>2</v>
      </c>
      <c r="AS78" s="16">
        <f t="shared" si="117"/>
        <v>0</v>
      </c>
      <c r="AT78" s="16">
        <f t="shared" si="118"/>
        <v>2</v>
      </c>
      <c r="AU78" s="16">
        <f t="shared" si="119"/>
        <v>1</v>
      </c>
      <c r="AV78" s="16">
        <f t="shared" si="120"/>
        <v>0</v>
      </c>
      <c r="AW78" s="16">
        <f t="shared" si="121"/>
        <v>11</v>
      </c>
      <c r="AX78" s="16">
        <f t="shared" si="122"/>
        <v>4</v>
      </c>
      <c r="AY78" s="16">
        <f t="shared" si="123"/>
        <v>1</v>
      </c>
      <c r="AZ78" s="16">
        <f t="shared" si="124"/>
        <v>7</v>
      </c>
      <c r="BA78" s="17">
        <f t="shared" si="125"/>
        <v>5</v>
      </c>
    </row>
    <row r="79" spans="1:53" ht="16.2" thickBot="1" x14ac:dyDescent="0.35">
      <c r="A79" s="203" t="s">
        <v>73</v>
      </c>
      <c r="B79" s="270">
        <v>44013</v>
      </c>
      <c r="C79" s="255">
        <v>44035</v>
      </c>
      <c r="D79" s="269">
        <v>2300</v>
      </c>
      <c r="E79" s="109">
        <v>640</v>
      </c>
      <c r="F79" s="110">
        <v>0</v>
      </c>
      <c r="G79" s="111">
        <v>6200</v>
      </c>
      <c r="H79" s="109">
        <v>1180</v>
      </c>
      <c r="I79" s="110">
        <v>0</v>
      </c>
      <c r="J79" s="111">
        <v>5100</v>
      </c>
      <c r="K79" s="109">
        <v>160</v>
      </c>
      <c r="L79" s="110">
        <v>0</v>
      </c>
      <c r="M79" s="111">
        <v>4972</v>
      </c>
      <c r="N79" s="109">
        <v>500</v>
      </c>
      <c r="O79" s="110">
        <v>0</v>
      </c>
      <c r="P79" s="111">
        <v>3081</v>
      </c>
      <c r="Q79" s="109">
        <v>337</v>
      </c>
      <c r="R79" s="110">
        <v>0</v>
      </c>
      <c r="S79" s="111">
        <v>1400</v>
      </c>
      <c r="T79" s="109">
        <v>10</v>
      </c>
      <c r="U79" s="110">
        <v>0</v>
      </c>
      <c r="V79" s="111">
        <v>3090</v>
      </c>
      <c r="W79" s="109">
        <v>1390</v>
      </c>
      <c r="X79" s="110">
        <v>0</v>
      </c>
      <c r="Y79" s="111">
        <v>1200</v>
      </c>
      <c r="Z79" s="109">
        <v>0</v>
      </c>
      <c r="AA79" s="110">
        <v>15</v>
      </c>
      <c r="AB79" s="111">
        <v>2150</v>
      </c>
      <c r="AC79" s="109">
        <v>200</v>
      </c>
      <c r="AD79" s="110">
        <v>0</v>
      </c>
      <c r="AE79" s="111">
        <v>2450</v>
      </c>
      <c r="AF79" s="109">
        <v>2150</v>
      </c>
      <c r="AG79" s="110">
        <v>0</v>
      </c>
      <c r="AH79" s="265">
        <f>+Janvier!AJ79</f>
        <v>2652.2802197802202</v>
      </c>
      <c r="AI79" s="231">
        <f>+Janvier!AK79</f>
        <v>8251.5384615384628</v>
      </c>
      <c r="AJ79" s="231">
        <f>+Janvier!AL79</f>
        <v>6188.6538461538466</v>
      </c>
      <c r="AK79" s="231">
        <f>+Janvier!AM79</f>
        <v>6188.6538461538466</v>
      </c>
      <c r="AL79" s="231">
        <f>+Janvier!AN79</f>
        <v>3750.6993006993016</v>
      </c>
      <c r="AM79" s="231">
        <f>+Janvier!AO79</f>
        <v>2320.7451923076924</v>
      </c>
      <c r="AN79" s="231">
        <f>+Janvier!AP79</f>
        <v>4641.4903846153848</v>
      </c>
      <c r="AO79" s="231">
        <f>+Janvier!AQ79</f>
        <v>2320.7451923076924</v>
      </c>
      <c r="AP79" s="231">
        <f>+Janvier!AR79</f>
        <v>2320.7451923076924</v>
      </c>
      <c r="AQ79" s="231">
        <f>+Janvier!AS79</f>
        <v>4125.7692307692314</v>
      </c>
      <c r="AR79" s="32">
        <f t="shared" si="116"/>
        <v>1</v>
      </c>
      <c r="AS79" s="32">
        <f t="shared" si="117"/>
        <v>1</v>
      </c>
      <c r="AT79" s="32">
        <f t="shared" si="118"/>
        <v>0</v>
      </c>
      <c r="AU79" s="32">
        <f t="shared" si="119"/>
        <v>0</v>
      </c>
      <c r="AV79" s="32">
        <f t="shared" si="120"/>
        <v>0</v>
      </c>
      <c r="AW79" s="32">
        <f t="shared" si="121"/>
        <v>0</v>
      </c>
      <c r="AX79" s="32">
        <f t="shared" si="122"/>
        <v>1</v>
      </c>
      <c r="AY79" s="32">
        <f t="shared" si="123"/>
        <v>0</v>
      </c>
      <c r="AZ79" s="32">
        <f t="shared" si="124"/>
        <v>0</v>
      </c>
      <c r="BA79" s="33">
        <f t="shared" si="125"/>
        <v>3</v>
      </c>
    </row>
    <row r="80" spans="1:53" ht="15.6" x14ac:dyDescent="0.3">
      <c r="A80" s="202" t="s">
        <v>90</v>
      </c>
      <c r="B80" s="256">
        <v>44013</v>
      </c>
      <c r="C80" s="160">
        <v>44043</v>
      </c>
      <c r="D80" s="113">
        <v>0</v>
      </c>
      <c r="E80" s="114">
        <v>9200</v>
      </c>
      <c r="F80" s="115">
        <v>0</v>
      </c>
      <c r="G80" s="113">
        <v>0</v>
      </c>
      <c r="H80" s="114">
        <v>37500</v>
      </c>
      <c r="I80" s="115">
        <v>0</v>
      </c>
      <c r="J80" s="113">
        <v>0</v>
      </c>
      <c r="K80" s="114">
        <v>32390</v>
      </c>
      <c r="L80" s="115">
        <v>0</v>
      </c>
      <c r="M80" s="113">
        <v>0</v>
      </c>
      <c r="N80" s="114">
        <v>33000</v>
      </c>
      <c r="O80" s="115">
        <v>0</v>
      </c>
      <c r="P80" s="113">
        <v>0</v>
      </c>
      <c r="Q80" s="114">
        <v>20750</v>
      </c>
      <c r="R80" s="115">
        <v>0</v>
      </c>
      <c r="S80" s="113">
        <v>0</v>
      </c>
      <c r="T80" s="114">
        <v>10550</v>
      </c>
      <c r="U80" s="115">
        <v>0</v>
      </c>
      <c r="V80" s="113">
        <v>0</v>
      </c>
      <c r="W80" s="114">
        <v>25100</v>
      </c>
      <c r="X80" s="115">
        <v>0</v>
      </c>
      <c r="Y80" s="113">
        <v>0</v>
      </c>
      <c r="Z80" s="114">
        <v>12000</v>
      </c>
      <c r="AA80" s="115">
        <v>0</v>
      </c>
      <c r="AB80" s="113">
        <v>0</v>
      </c>
      <c r="AC80" s="114">
        <v>12400</v>
      </c>
      <c r="AD80" s="115">
        <v>0</v>
      </c>
      <c r="AE80" s="113">
        <v>0</v>
      </c>
      <c r="AF80" s="114">
        <v>35600</v>
      </c>
      <c r="AG80" s="115">
        <v>0</v>
      </c>
      <c r="AH80" s="231">
        <f>+Janvier!AJ80</f>
        <v>17212.634999999998</v>
      </c>
      <c r="AI80" s="231">
        <f>+Janvier!AK80</f>
        <v>59198.798076923078</v>
      </c>
      <c r="AJ80" s="231">
        <f>+Janvier!AL80</f>
        <v>39426.39951923077</v>
      </c>
      <c r="AK80" s="231">
        <f>+Janvier!AM80</f>
        <v>39426.39951923077</v>
      </c>
      <c r="AL80" s="231">
        <f>+Janvier!AN80</f>
        <v>24863.495192307691</v>
      </c>
      <c r="AM80" s="231">
        <f>+Janvier!AO80</f>
        <v>14799.69951923077</v>
      </c>
      <c r="AN80" s="231">
        <f>+Janvier!AP80</f>
        <v>29599.399038461539</v>
      </c>
      <c r="AO80" s="231">
        <f>+Janvier!AQ80</f>
        <v>14799.69951923077</v>
      </c>
      <c r="AP80" s="231">
        <f>+Janvier!AR80</f>
        <v>14799.69951923077</v>
      </c>
      <c r="AQ80" s="231">
        <f>+Janvier!AS80</f>
        <v>26721.713076923079</v>
      </c>
      <c r="AR80" s="16">
        <f>ROUND(E80/(AH80/15),0)</f>
        <v>8</v>
      </c>
      <c r="AS80" s="16">
        <f t="shared" ref="AS80" si="126">ROUND(H80/(AI80/15),0)</f>
        <v>10</v>
      </c>
      <c r="AT80" s="16">
        <f t="shared" ref="AT80" si="127">ROUND(K80/(AJ80/15),0)</f>
        <v>12</v>
      </c>
      <c r="AU80" s="16">
        <f t="shared" ref="AU80" si="128">ROUND(N80/(AK80/15),0)</f>
        <v>13</v>
      </c>
      <c r="AV80" s="16">
        <f t="shared" ref="AV80" si="129">ROUND(Q80/(AL80/15),0)</f>
        <v>13</v>
      </c>
      <c r="AW80" s="16">
        <f t="shared" ref="AW80" si="130">ROUND(T80/(AM80/15),0)</f>
        <v>11</v>
      </c>
      <c r="AX80" s="16">
        <f t="shared" ref="AX80" si="131">ROUND(W80/(AN80/15),0)</f>
        <v>13</v>
      </c>
      <c r="AY80" s="16">
        <f t="shared" ref="AY80" si="132">ROUND(Z80/(AO80/15),0)</f>
        <v>12</v>
      </c>
      <c r="AZ80" s="16">
        <f t="shared" ref="AZ80" si="133">ROUND(AC80/(AP80/15),0)</f>
        <v>13</v>
      </c>
      <c r="BA80" s="17">
        <f t="shared" ref="BA80" si="134">ROUND(AF80/(AQ80/15),0)</f>
        <v>20</v>
      </c>
    </row>
    <row r="81" spans="1:53" ht="15.6" x14ac:dyDescent="0.3">
      <c r="A81" s="199" t="s">
        <v>74</v>
      </c>
      <c r="B81" s="257">
        <v>44013</v>
      </c>
      <c r="C81" s="94">
        <v>44043</v>
      </c>
      <c r="D81" s="116">
        <v>1500</v>
      </c>
      <c r="E81" s="106">
        <v>580</v>
      </c>
      <c r="F81" s="117">
        <v>0</v>
      </c>
      <c r="G81" s="116">
        <v>4000</v>
      </c>
      <c r="H81" s="106">
        <v>640</v>
      </c>
      <c r="I81" s="117">
        <v>0</v>
      </c>
      <c r="J81" s="116">
        <v>2200</v>
      </c>
      <c r="K81" s="106">
        <v>1090</v>
      </c>
      <c r="L81" s="117">
        <v>0</v>
      </c>
      <c r="M81" s="116">
        <v>2400</v>
      </c>
      <c r="N81" s="106">
        <v>1200</v>
      </c>
      <c r="O81" s="117">
        <v>0</v>
      </c>
      <c r="P81" s="116">
        <v>1800</v>
      </c>
      <c r="Q81" s="106">
        <v>497</v>
      </c>
      <c r="R81" s="117">
        <v>0</v>
      </c>
      <c r="S81" s="116">
        <v>800</v>
      </c>
      <c r="T81" s="106">
        <v>440</v>
      </c>
      <c r="U81" s="117">
        <v>0</v>
      </c>
      <c r="V81" s="116">
        <v>1300</v>
      </c>
      <c r="W81" s="106">
        <v>1450</v>
      </c>
      <c r="X81" s="117">
        <v>0</v>
      </c>
      <c r="Y81" s="116">
        <v>900</v>
      </c>
      <c r="Z81" s="106">
        <v>230</v>
      </c>
      <c r="AA81" s="117">
        <v>0</v>
      </c>
      <c r="AB81" s="116">
        <v>1000</v>
      </c>
      <c r="AC81" s="106">
        <v>330</v>
      </c>
      <c r="AD81" s="117">
        <v>0</v>
      </c>
      <c r="AE81" s="116">
        <v>1400</v>
      </c>
      <c r="AF81" s="106">
        <v>820</v>
      </c>
      <c r="AG81" s="117">
        <v>0</v>
      </c>
      <c r="AH81" s="231">
        <f>+Janvier!AJ81</f>
        <v>1153.1868131868132</v>
      </c>
      <c r="AI81" s="231">
        <f>+Janvier!AK81</f>
        <v>3587.6923076923085</v>
      </c>
      <c r="AJ81" s="231">
        <f>+Janvier!AL81</f>
        <v>2690.7692307692309</v>
      </c>
      <c r="AK81" s="231">
        <f>+Janvier!AM81</f>
        <v>2690.7692307692309</v>
      </c>
      <c r="AL81" s="231">
        <f>+Janvier!AN81</f>
        <v>1630.7692307692312</v>
      </c>
      <c r="AM81" s="231">
        <f>+Janvier!AO81</f>
        <v>1009.0384615384617</v>
      </c>
      <c r="AN81" s="231">
        <f>+Janvier!AP81</f>
        <v>2018.0769230769233</v>
      </c>
      <c r="AO81" s="231">
        <f>+Janvier!AQ81</f>
        <v>1009.0384615384617</v>
      </c>
      <c r="AP81" s="231">
        <f>+Janvier!AR81</f>
        <v>1009.0384615384617</v>
      </c>
      <c r="AQ81" s="231">
        <f>+Janvier!AS81</f>
        <v>1793.8461538461543</v>
      </c>
      <c r="AR81" s="16">
        <f>ROUND(E81/(AH81/5),0)</f>
        <v>3</v>
      </c>
      <c r="AS81" s="16">
        <f t="shared" ref="AS81:AS85" si="135">ROUND(H81/(AI81/5),0)</f>
        <v>1</v>
      </c>
      <c r="AT81" s="16">
        <f t="shared" ref="AT81:AT85" si="136">ROUND(K81/(AJ81/5),0)</f>
        <v>2</v>
      </c>
      <c r="AU81" s="16">
        <f t="shared" ref="AU81:AU85" si="137">ROUND(N81/(AK81/5),0)</f>
        <v>2</v>
      </c>
      <c r="AV81" s="16">
        <f t="shared" ref="AV81:AV85" si="138">ROUND(Q81/(AL81/5),0)</f>
        <v>2</v>
      </c>
      <c r="AW81" s="16">
        <f t="shared" ref="AW81:AW85" si="139">ROUND(T81/(AM81/5),0)</f>
        <v>2</v>
      </c>
      <c r="AX81" s="16">
        <f t="shared" ref="AX81:AX85" si="140">ROUND(W81/(AN81/5),0)</f>
        <v>4</v>
      </c>
      <c r="AY81" s="16">
        <f t="shared" ref="AY81:AY85" si="141">ROUND(Z81/(AO81/5),0)</f>
        <v>1</v>
      </c>
      <c r="AZ81" s="16">
        <f t="shared" ref="AZ81:AZ85" si="142">ROUND(AC81/(AP81/5),0)</f>
        <v>2</v>
      </c>
      <c r="BA81" s="17">
        <f t="shared" ref="BA81:BA85" si="143">ROUND(AF81/(AQ81/5),0)</f>
        <v>2</v>
      </c>
    </row>
    <row r="82" spans="1:53" ht="15.6" x14ac:dyDescent="0.3">
      <c r="A82" s="199" t="s">
        <v>75</v>
      </c>
      <c r="B82" s="257">
        <v>44013</v>
      </c>
      <c r="C82" s="94">
        <v>44043</v>
      </c>
      <c r="D82" s="95">
        <v>2000</v>
      </c>
      <c r="E82" s="96">
        <v>920</v>
      </c>
      <c r="F82" s="97">
        <v>0</v>
      </c>
      <c r="G82" s="95">
        <v>4000</v>
      </c>
      <c r="H82" s="96">
        <v>1100</v>
      </c>
      <c r="I82" s="97">
        <v>0</v>
      </c>
      <c r="J82" s="95">
        <v>2200</v>
      </c>
      <c r="K82" s="96">
        <v>680</v>
      </c>
      <c r="L82" s="97">
        <v>0</v>
      </c>
      <c r="M82" s="95">
        <v>1800</v>
      </c>
      <c r="N82" s="96">
        <v>792</v>
      </c>
      <c r="O82" s="97">
        <v>0</v>
      </c>
      <c r="P82" s="95">
        <v>1100</v>
      </c>
      <c r="Q82" s="96">
        <v>451</v>
      </c>
      <c r="R82" s="97">
        <v>0</v>
      </c>
      <c r="S82" s="95">
        <v>600</v>
      </c>
      <c r="T82" s="96">
        <v>250</v>
      </c>
      <c r="U82" s="97">
        <v>0</v>
      </c>
      <c r="V82" s="95">
        <v>1400</v>
      </c>
      <c r="W82" s="96">
        <v>2050</v>
      </c>
      <c r="X82" s="97">
        <v>0</v>
      </c>
      <c r="Y82" s="95">
        <v>800</v>
      </c>
      <c r="Z82" s="96">
        <v>520</v>
      </c>
      <c r="AA82" s="97">
        <v>0</v>
      </c>
      <c r="AB82" s="95">
        <v>800</v>
      </c>
      <c r="AC82" s="96">
        <v>520</v>
      </c>
      <c r="AD82" s="97">
        <v>0</v>
      </c>
      <c r="AE82" s="95">
        <v>1500</v>
      </c>
      <c r="AF82" s="96">
        <v>1290</v>
      </c>
      <c r="AG82" s="97">
        <v>0</v>
      </c>
      <c r="AH82" s="231">
        <f>+Janvier!AJ82</f>
        <v>1355.5631868131868</v>
      </c>
      <c r="AI82" s="231">
        <f>+Janvier!AK82</f>
        <v>4217.3076923076924</v>
      </c>
      <c r="AJ82" s="231">
        <f>+Janvier!AL82</f>
        <v>3162.9807692307691</v>
      </c>
      <c r="AK82" s="231">
        <f>+Janvier!AM82</f>
        <v>3162.9807692307691</v>
      </c>
      <c r="AL82" s="231">
        <f>+Janvier!AN82</f>
        <v>1916.9580419580418</v>
      </c>
      <c r="AM82" s="231">
        <f>+Janvier!AO82</f>
        <v>1186.1177884615383</v>
      </c>
      <c r="AN82" s="231">
        <f>+Janvier!AP82</f>
        <v>2372.2355769230767</v>
      </c>
      <c r="AO82" s="231">
        <f>+Janvier!AQ82</f>
        <v>1186.1177884615383</v>
      </c>
      <c r="AP82" s="231">
        <f>+Janvier!AR82</f>
        <v>1186.1177884615383</v>
      </c>
      <c r="AQ82" s="231">
        <f>+Janvier!AS82</f>
        <v>2108.6538461538462</v>
      </c>
      <c r="AR82" s="16">
        <f>ROUND(E82/(AH82/5),0)</f>
        <v>3</v>
      </c>
      <c r="AS82" s="16">
        <f t="shared" si="135"/>
        <v>1</v>
      </c>
      <c r="AT82" s="16">
        <f t="shared" si="136"/>
        <v>1</v>
      </c>
      <c r="AU82" s="16">
        <f t="shared" si="137"/>
        <v>1</v>
      </c>
      <c r="AV82" s="16">
        <f t="shared" si="138"/>
        <v>1</v>
      </c>
      <c r="AW82" s="16">
        <f t="shared" si="139"/>
        <v>1</v>
      </c>
      <c r="AX82" s="16">
        <f t="shared" si="140"/>
        <v>4</v>
      </c>
      <c r="AY82" s="16">
        <f t="shared" si="141"/>
        <v>2</v>
      </c>
      <c r="AZ82" s="16">
        <f t="shared" si="142"/>
        <v>2</v>
      </c>
      <c r="BA82" s="17">
        <f t="shared" si="143"/>
        <v>3</v>
      </c>
    </row>
    <row r="83" spans="1:53" ht="15.6" x14ac:dyDescent="0.3">
      <c r="A83" s="199" t="s">
        <v>76</v>
      </c>
      <c r="B83" s="257">
        <v>44013</v>
      </c>
      <c r="C83" s="94">
        <v>44043</v>
      </c>
      <c r="D83" s="95">
        <v>0</v>
      </c>
      <c r="E83" s="96">
        <v>320</v>
      </c>
      <c r="F83" s="97">
        <v>0</v>
      </c>
      <c r="G83" s="95">
        <v>4000</v>
      </c>
      <c r="H83" s="96">
        <v>1400</v>
      </c>
      <c r="I83" s="97">
        <v>0</v>
      </c>
      <c r="J83" s="95">
        <v>1500</v>
      </c>
      <c r="K83" s="96">
        <v>1140</v>
      </c>
      <c r="L83" s="97">
        <v>0</v>
      </c>
      <c r="M83" s="95">
        <v>1600</v>
      </c>
      <c r="N83" s="96">
        <v>880</v>
      </c>
      <c r="O83" s="97">
        <v>0</v>
      </c>
      <c r="P83" s="95">
        <v>1000</v>
      </c>
      <c r="Q83" s="96">
        <v>540</v>
      </c>
      <c r="R83" s="97">
        <v>0</v>
      </c>
      <c r="S83" s="95">
        <v>500</v>
      </c>
      <c r="T83" s="96">
        <v>590</v>
      </c>
      <c r="U83" s="97">
        <v>0</v>
      </c>
      <c r="V83" s="95">
        <v>700</v>
      </c>
      <c r="W83" s="96">
        <v>1260</v>
      </c>
      <c r="X83" s="97">
        <v>0</v>
      </c>
      <c r="Y83" s="95">
        <v>990</v>
      </c>
      <c r="Z83" s="96">
        <v>560</v>
      </c>
      <c r="AA83" s="97">
        <v>0</v>
      </c>
      <c r="AB83" s="95">
        <v>1000</v>
      </c>
      <c r="AC83" s="96">
        <v>560</v>
      </c>
      <c r="AD83" s="97">
        <v>0</v>
      </c>
      <c r="AE83" s="95">
        <v>500</v>
      </c>
      <c r="AF83" s="96">
        <v>920</v>
      </c>
      <c r="AG83" s="97">
        <v>0</v>
      </c>
      <c r="AH83" s="231">
        <f>+Janvier!AJ83</f>
        <v>895.92032967032981</v>
      </c>
      <c r="AI83" s="231">
        <f>+Janvier!AK83</f>
        <v>2787.3076923076928</v>
      </c>
      <c r="AJ83" s="231">
        <f>+Janvier!AL83</f>
        <v>2090.4807692307695</v>
      </c>
      <c r="AK83" s="231">
        <f>+Janvier!AM83</f>
        <v>2090.4807692307695</v>
      </c>
      <c r="AL83" s="231">
        <f>+Janvier!AN83</f>
        <v>1266.958041958042</v>
      </c>
      <c r="AM83" s="231">
        <f>+Janvier!AO83</f>
        <v>783.93028846153834</v>
      </c>
      <c r="AN83" s="231">
        <f>+Janvier!AP83</f>
        <v>1567.8605769230767</v>
      </c>
      <c r="AO83" s="231">
        <f>+Janvier!AQ83</f>
        <v>783.93028846153834</v>
      </c>
      <c r="AP83" s="231">
        <f>+Janvier!AR83</f>
        <v>783.93028846153834</v>
      </c>
      <c r="AQ83" s="231">
        <f>+Janvier!AS83</f>
        <v>1393.6538461538464</v>
      </c>
      <c r="AR83" s="16">
        <f>ROUND(E83/(AH83/5),0)</f>
        <v>2</v>
      </c>
      <c r="AS83" s="16">
        <f t="shared" si="135"/>
        <v>3</v>
      </c>
      <c r="AT83" s="16">
        <f t="shared" si="136"/>
        <v>3</v>
      </c>
      <c r="AU83" s="16">
        <f t="shared" si="137"/>
        <v>2</v>
      </c>
      <c r="AV83" s="16">
        <f t="shared" si="138"/>
        <v>2</v>
      </c>
      <c r="AW83" s="16">
        <f t="shared" si="139"/>
        <v>4</v>
      </c>
      <c r="AX83" s="16">
        <f t="shared" si="140"/>
        <v>4</v>
      </c>
      <c r="AY83" s="16">
        <f t="shared" si="141"/>
        <v>4</v>
      </c>
      <c r="AZ83" s="16">
        <f t="shared" si="142"/>
        <v>4</v>
      </c>
      <c r="BA83" s="17">
        <f t="shared" si="143"/>
        <v>3</v>
      </c>
    </row>
    <row r="84" spans="1:53" ht="15.6" x14ac:dyDescent="0.3">
      <c r="A84" s="199" t="s">
        <v>77</v>
      </c>
      <c r="B84" s="257">
        <v>44013</v>
      </c>
      <c r="C84" s="94">
        <v>44043</v>
      </c>
      <c r="D84" s="95">
        <v>1500</v>
      </c>
      <c r="E84" s="96">
        <v>400</v>
      </c>
      <c r="F84" s="97">
        <v>0</v>
      </c>
      <c r="G84" s="95">
        <v>5000</v>
      </c>
      <c r="H84" s="96">
        <v>1000</v>
      </c>
      <c r="I84" s="97">
        <v>0</v>
      </c>
      <c r="J84" s="95">
        <v>3000</v>
      </c>
      <c r="K84" s="96">
        <v>840</v>
      </c>
      <c r="L84" s="97">
        <v>0</v>
      </c>
      <c r="M84" s="95">
        <v>3000</v>
      </c>
      <c r="N84" s="96">
        <v>800</v>
      </c>
      <c r="O84" s="97">
        <v>0</v>
      </c>
      <c r="P84" s="95">
        <v>2000</v>
      </c>
      <c r="Q84" s="96">
        <v>291</v>
      </c>
      <c r="R84" s="97">
        <v>0</v>
      </c>
      <c r="S84" s="95">
        <v>1200</v>
      </c>
      <c r="T84" s="96">
        <v>800</v>
      </c>
      <c r="U84" s="97">
        <v>0</v>
      </c>
      <c r="V84" s="95">
        <v>1300</v>
      </c>
      <c r="W84" s="96">
        <v>1790</v>
      </c>
      <c r="X84" s="97">
        <v>0</v>
      </c>
      <c r="Y84" s="95">
        <v>1300</v>
      </c>
      <c r="Z84" s="96">
        <v>650</v>
      </c>
      <c r="AA84" s="97">
        <v>0</v>
      </c>
      <c r="AB84" s="95">
        <v>1300</v>
      </c>
      <c r="AC84" s="96">
        <v>650</v>
      </c>
      <c r="AD84" s="97">
        <v>0</v>
      </c>
      <c r="AE84" s="95">
        <v>1300</v>
      </c>
      <c r="AF84" s="96">
        <v>1300</v>
      </c>
      <c r="AG84" s="97">
        <v>0</v>
      </c>
      <c r="AH84" s="231">
        <f>+Janvier!AJ84</f>
        <v>1507.1291208791208</v>
      </c>
      <c r="AI84" s="231">
        <f>+Janvier!AK84</f>
        <v>4688.8461538461534</v>
      </c>
      <c r="AJ84" s="231">
        <f>+Janvier!AL84</f>
        <v>3516.6346153846152</v>
      </c>
      <c r="AK84" s="231">
        <f>+Janvier!AM84</f>
        <v>3516.6346153846152</v>
      </c>
      <c r="AL84" s="231">
        <f>+Janvier!AN84</f>
        <v>2131.2937062937062</v>
      </c>
      <c r="AM84" s="231">
        <f>+Janvier!AO84</f>
        <v>1318.7379807692307</v>
      </c>
      <c r="AN84" s="231">
        <f>+Janvier!AP84</f>
        <v>2637.4759615384614</v>
      </c>
      <c r="AO84" s="231">
        <f>+Janvier!AQ84</f>
        <v>1318.7379807692307</v>
      </c>
      <c r="AP84" s="231">
        <f>+Janvier!AR84</f>
        <v>1318.7379807692307</v>
      </c>
      <c r="AQ84" s="231">
        <f>+Janvier!AS84</f>
        <v>2344.4230769230767</v>
      </c>
      <c r="AR84" s="16">
        <f>ROUND(E84/(AH84/5),0)</f>
        <v>1</v>
      </c>
      <c r="AS84" s="16">
        <f t="shared" si="135"/>
        <v>1</v>
      </c>
      <c r="AT84" s="16">
        <f t="shared" si="136"/>
        <v>1</v>
      </c>
      <c r="AU84" s="16">
        <f t="shared" si="137"/>
        <v>1</v>
      </c>
      <c r="AV84" s="16">
        <f t="shared" si="138"/>
        <v>1</v>
      </c>
      <c r="AW84" s="16">
        <f t="shared" si="139"/>
        <v>3</v>
      </c>
      <c r="AX84" s="16">
        <f t="shared" si="140"/>
        <v>3</v>
      </c>
      <c r="AY84" s="16">
        <f t="shared" si="141"/>
        <v>2</v>
      </c>
      <c r="AZ84" s="16">
        <f t="shared" si="142"/>
        <v>2</v>
      </c>
      <c r="BA84" s="17">
        <f t="shared" si="143"/>
        <v>3</v>
      </c>
    </row>
    <row r="85" spans="1:53" ht="15" thickBot="1" x14ac:dyDescent="0.35">
      <c r="A85" s="121" t="s">
        <v>78</v>
      </c>
      <c r="B85" s="258">
        <v>44013</v>
      </c>
      <c r="C85" s="143">
        <v>44043</v>
      </c>
      <c r="D85" s="111">
        <v>800</v>
      </c>
      <c r="E85" s="109">
        <v>100</v>
      </c>
      <c r="F85" s="110">
        <v>0</v>
      </c>
      <c r="G85" s="111">
        <v>2000</v>
      </c>
      <c r="H85" s="109">
        <v>440</v>
      </c>
      <c r="I85" s="110">
        <v>0</v>
      </c>
      <c r="J85" s="111">
        <v>1300</v>
      </c>
      <c r="K85" s="109">
        <v>560</v>
      </c>
      <c r="L85" s="110">
        <v>0</v>
      </c>
      <c r="M85" s="111">
        <v>1200</v>
      </c>
      <c r="N85" s="109">
        <v>368</v>
      </c>
      <c r="O85" s="110">
        <v>0</v>
      </c>
      <c r="P85" s="111">
        <v>700</v>
      </c>
      <c r="Q85" s="109">
        <v>212</v>
      </c>
      <c r="R85" s="110">
        <v>0</v>
      </c>
      <c r="S85" s="111">
        <v>450</v>
      </c>
      <c r="T85" s="109">
        <v>270</v>
      </c>
      <c r="U85" s="110">
        <v>0</v>
      </c>
      <c r="V85" s="111">
        <v>500</v>
      </c>
      <c r="W85" s="109">
        <v>320</v>
      </c>
      <c r="X85" s="110">
        <v>0</v>
      </c>
      <c r="Y85" s="111">
        <v>500</v>
      </c>
      <c r="Z85" s="109">
        <v>160</v>
      </c>
      <c r="AA85" s="110">
        <v>0</v>
      </c>
      <c r="AB85" s="111">
        <v>400</v>
      </c>
      <c r="AC85" s="109">
        <v>160</v>
      </c>
      <c r="AD85" s="110">
        <v>0</v>
      </c>
      <c r="AE85" s="111">
        <v>0</v>
      </c>
      <c r="AF85" s="109">
        <v>10</v>
      </c>
      <c r="AG85" s="110">
        <v>0</v>
      </c>
      <c r="AH85" s="231">
        <f>+Janvier!AJ85</f>
        <v>726.18131868131866</v>
      </c>
      <c r="AI85" s="231">
        <f>+Janvier!AK85</f>
        <v>2259.2307692307695</v>
      </c>
      <c r="AJ85" s="231">
        <f>+Janvier!AL85</f>
        <v>1694.4230769230774</v>
      </c>
      <c r="AK85" s="231">
        <f>+Janvier!AM85</f>
        <v>1694.4230769230774</v>
      </c>
      <c r="AL85" s="231">
        <f>+Janvier!AN85</f>
        <v>1026.9230769230771</v>
      </c>
      <c r="AM85" s="231">
        <f>+Janvier!AO85</f>
        <v>635.40865384615381</v>
      </c>
      <c r="AN85" s="231">
        <f>+Janvier!AP85</f>
        <v>1270.8173076923076</v>
      </c>
      <c r="AO85" s="231">
        <f>+Janvier!AQ85</f>
        <v>635.40865384615381</v>
      </c>
      <c r="AP85" s="231">
        <f>+Janvier!AR85</f>
        <v>635.40865384615381</v>
      </c>
      <c r="AQ85" s="231">
        <f>+Janvier!AS85</f>
        <v>1129.6153846153848</v>
      </c>
      <c r="AR85" s="16">
        <f>ROUND(E85/(AH85/5),0)</f>
        <v>1</v>
      </c>
      <c r="AS85" s="16">
        <f t="shared" si="135"/>
        <v>1</v>
      </c>
      <c r="AT85" s="16">
        <f t="shared" si="136"/>
        <v>2</v>
      </c>
      <c r="AU85" s="16">
        <f t="shared" si="137"/>
        <v>1</v>
      </c>
      <c r="AV85" s="16">
        <f t="shared" si="138"/>
        <v>1</v>
      </c>
      <c r="AW85" s="16">
        <f t="shared" si="139"/>
        <v>2</v>
      </c>
      <c r="AX85" s="16">
        <f t="shared" si="140"/>
        <v>1</v>
      </c>
      <c r="AY85" s="16">
        <f t="shared" si="141"/>
        <v>1</v>
      </c>
      <c r="AZ85" s="16">
        <f t="shared" si="142"/>
        <v>1</v>
      </c>
      <c r="BA85" s="17">
        <f t="shared" si="143"/>
        <v>0</v>
      </c>
    </row>
    <row r="86" spans="1:53" x14ac:dyDescent="0.3">
      <c r="B86" s="192"/>
      <c r="C86" s="3"/>
      <c r="D86" s="3"/>
      <c r="E86" s="192"/>
      <c r="F86" s="192"/>
      <c r="G86" s="192"/>
      <c r="H86" s="192"/>
      <c r="I86" s="192"/>
      <c r="J86" s="192"/>
      <c r="K86" s="192"/>
      <c r="L86" s="192"/>
      <c r="M86" s="192"/>
      <c r="N86" s="192"/>
      <c r="O86" s="192"/>
      <c r="P86" s="192"/>
      <c r="Q86" s="192"/>
      <c r="R86" s="192"/>
      <c r="S86" s="192"/>
      <c r="T86" s="192"/>
      <c r="U86" s="192"/>
      <c r="V86" s="192"/>
      <c r="W86" s="192"/>
      <c r="X86" s="192"/>
      <c r="Y86" s="192"/>
      <c r="Z86" s="192"/>
      <c r="AA86" s="192"/>
      <c r="AB86" s="192"/>
      <c r="AC86" s="192"/>
      <c r="AD86" s="192"/>
      <c r="AE86" s="192"/>
      <c r="AF86" s="192"/>
      <c r="AG86" s="192"/>
      <c r="AR86" s="183" t="s">
        <v>2</v>
      </c>
      <c r="AS86" s="183" t="s">
        <v>80</v>
      </c>
      <c r="AT86" s="183" t="s">
        <v>81</v>
      </c>
      <c r="AU86" s="183" t="s">
        <v>5</v>
      </c>
      <c r="AV86" s="183" t="s">
        <v>82</v>
      </c>
      <c r="AW86" s="183" t="s">
        <v>7</v>
      </c>
      <c r="AX86" s="183" t="s">
        <v>8</v>
      </c>
      <c r="AY86" s="183" t="s">
        <v>9</v>
      </c>
      <c r="AZ86" s="183" t="s">
        <v>10</v>
      </c>
      <c r="BA86" s="183" t="s">
        <v>11</v>
      </c>
    </row>
    <row r="87" spans="1:53" x14ac:dyDescent="0.3">
      <c r="B87" s="192"/>
      <c r="C87" s="3"/>
      <c r="D87" s="3"/>
      <c r="E87" s="192"/>
      <c r="F87" s="192"/>
      <c r="G87" s="192"/>
      <c r="H87" s="192"/>
      <c r="I87" s="192"/>
      <c r="J87" s="192"/>
      <c r="K87" s="192"/>
      <c r="L87" s="192"/>
      <c r="M87" s="192"/>
      <c r="N87" s="192"/>
      <c r="O87" s="192"/>
      <c r="P87" s="192"/>
      <c r="Q87" s="192"/>
      <c r="R87" s="192"/>
      <c r="S87" s="192"/>
      <c r="T87" s="192"/>
      <c r="U87" s="192"/>
      <c r="V87" s="192"/>
      <c r="W87" s="192"/>
      <c r="X87" s="192"/>
      <c r="Y87" s="192"/>
      <c r="Z87" s="192"/>
      <c r="AA87" s="192"/>
      <c r="AB87" s="192"/>
      <c r="AC87" s="192"/>
      <c r="AD87" s="192"/>
      <c r="AE87" s="192"/>
      <c r="AF87" s="192"/>
      <c r="AG87" s="192"/>
    </row>
  </sheetData>
  <mergeCells count="16">
    <mergeCell ref="D3:AF3"/>
    <mergeCell ref="AE4:AG4"/>
    <mergeCell ref="A1:AF1"/>
    <mergeCell ref="AH3:AQ3"/>
    <mergeCell ref="AR3:BA3"/>
    <mergeCell ref="A4:A5"/>
    <mergeCell ref="B4:C4"/>
    <mergeCell ref="D4:F4"/>
    <mergeCell ref="G4:I4"/>
    <mergeCell ref="J4:L4"/>
    <mergeCell ref="M4:O4"/>
    <mergeCell ref="P4:R4"/>
    <mergeCell ref="S4:U4"/>
    <mergeCell ref="V4:X4"/>
    <mergeCell ref="Y4:AA4"/>
    <mergeCell ref="AB4:AD4"/>
  </mergeCells>
  <conditionalFormatting sqref="AR6:BA6 AR14:BA14 AR21:BA21 AR30:BA30 AR40:BA40 AR54:BA54 AR68:BA68 AR80:BA80">
    <cfRule type="cellIs" dxfId="71" priority="5" operator="lessThanOrEqual">
      <formula>3</formula>
    </cfRule>
    <cfRule type="cellIs" dxfId="70" priority="6" operator="between">
      <formula>3.01</formula>
      <formula>5</formula>
    </cfRule>
    <cfRule type="cellIs" dxfId="69" priority="7" operator="between">
      <formula>5.01</formula>
      <formula>15</formula>
    </cfRule>
    <cfRule type="cellIs" dxfId="68" priority="8" operator="greaterThan">
      <formula>15</formula>
    </cfRule>
  </conditionalFormatting>
  <conditionalFormatting sqref="AR7:BA13 AR15:BA20 AR22:BA29 AR31:BA39 AR41:BA53 AR55:BA67 AR69:BA79 AR81:BA85">
    <cfRule type="cellIs" dxfId="67" priority="1" operator="lessThanOrEqual">
      <formula>1</formula>
    </cfRule>
    <cfRule type="cellIs" dxfId="66" priority="2" operator="between">
      <formula>1.01</formula>
      <formula>2</formula>
    </cfRule>
    <cfRule type="cellIs" dxfId="65" priority="3" operator="between">
      <formula>2.01</formula>
      <formula>5</formula>
    </cfRule>
    <cfRule type="cellIs" dxfId="64" priority="4" operator="greaterThan">
      <formula>5</formula>
    </cfRule>
  </conditionalFormatting>
  <dataValidations count="1">
    <dataValidation type="decimal" allowBlank="1" showInputMessage="1" showErrorMessage="1" promptTitle="Coverage:" prompt="Indicate the targeted immunization coverage for the current year." sqref="AH5:AQ5" xr:uid="{00000000-0002-0000-0600-000000000000}">
      <formula1>0</formula1>
      <formula2>1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A87"/>
  <sheetViews>
    <sheetView topLeftCell="A3" zoomScale="90" zoomScaleNormal="90" workbookViewId="0">
      <pane xSplit="3" ySplit="4" topLeftCell="D7" activePane="bottomRight" state="frozen"/>
      <selection activeCell="A3" sqref="A3"/>
      <selection pane="topRight" activeCell="D3" sqref="D3"/>
      <selection pane="bottomLeft" activeCell="A7" sqref="A7"/>
      <selection pane="bottomRight" activeCell="F20" sqref="F20"/>
    </sheetView>
  </sheetViews>
  <sheetFormatPr defaultColWidth="11.5546875" defaultRowHeight="14.4" x14ac:dyDescent="0.3"/>
  <cols>
    <col min="1" max="1" width="17.21875" style="183" customWidth="1"/>
    <col min="2" max="2" width="11.21875" style="183" customWidth="1"/>
    <col min="3" max="3" width="13.6640625" style="183" customWidth="1"/>
    <col min="4" max="4" width="11.109375" style="183" customWidth="1"/>
    <col min="5" max="5" width="12.33203125" style="183" customWidth="1"/>
    <col min="6" max="7" width="12.5546875" style="183" customWidth="1"/>
    <col min="8" max="8" width="14.109375" style="183" customWidth="1"/>
    <col min="9" max="9" width="12.5546875" style="183" customWidth="1"/>
    <col min="10" max="10" width="13.88671875" style="183" customWidth="1"/>
    <col min="11" max="11" width="16" style="183" customWidth="1"/>
    <col min="12" max="12" width="9.88671875" style="183" customWidth="1"/>
    <col min="13" max="13" width="11.6640625" style="183" customWidth="1"/>
    <col min="14" max="14" width="8.44140625" style="183" customWidth="1"/>
    <col min="15" max="15" width="11.88671875" style="183" customWidth="1"/>
    <col min="16" max="16" width="10.33203125" style="183" customWidth="1"/>
    <col min="17" max="17" width="8.44140625" style="183" customWidth="1"/>
    <col min="18" max="18" width="13.44140625" style="183" customWidth="1"/>
    <col min="19" max="19" width="10.44140625" style="183" customWidth="1"/>
    <col min="20" max="20" width="7.44140625" style="183" customWidth="1"/>
    <col min="21" max="21" width="13.44140625" style="183" customWidth="1"/>
    <col min="22" max="22" width="9.5546875" style="183" customWidth="1"/>
    <col min="23" max="23" width="8.44140625" style="183" customWidth="1"/>
    <col min="24" max="24" width="12.6640625" style="183" customWidth="1"/>
    <col min="25" max="25" width="9.5546875" style="183" customWidth="1"/>
    <col min="26" max="26" width="9.44140625" style="183" customWidth="1"/>
    <col min="27" max="27" width="10" style="183" customWidth="1"/>
    <col min="28" max="28" width="9.6640625" style="183" customWidth="1"/>
    <col min="29" max="29" width="10.6640625" style="183" customWidth="1"/>
    <col min="30" max="30" width="12.33203125" style="183" customWidth="1"/>
    <col min="31" max="31" width="10" style="183" customWidth="1"/>
    <col min="32" max="32" width="10.33203125" style="183" customWidth="1"/>
    <col min="33" max="33" width="14" style="183" customWidth="1"/>
    <col min="34" max="43" width="11.6640625" style="183" customWidth="1"/>
    <col min="44" max="53" width="15.109375" style="183" customWidth="1"/>
    <col min="54" max="16384" width="11.5546875" style="183"/>
  </cols>
  <sheetData>
    <row r="1" spans="1:53" ht="18" hidden="1" x14ac:dyDescent="0.35">
      <c r="A1" s="414" t="s">
        <v>0</v>
      </c>
      <c r="B1" s="414"/>
      <c r="C1" s="414"/>
      <c r="D1" s="414"/>
      <c r="E1" s="414"/>
      <c r="F1" s="414"/>
      <c r="G1" s="414"/>
      <c r="H1" s="414"/>
      <c r="I1" s="414"/>
      <c r="J1" s="414"/>
      <c r="K1" s="414"/>
      <c r="L1" s="414"/>
      <c r="M1" s="414"/>
      <c r="N1" s="414"/>
      <c r="O1" s="414"/>
      <c r="P1" s="414"/>
      <c r="Q1" s="414"/>
      <c r="R1" s="414"/>
      <c r="S1" s="414"/>
      <c r="T1" s="414"/>
      <c r="U1" s="414"/>
      <c r="V1" s="414"/>
      <c r="W1" s="414"/>
      <c r="X1" s="414"/>
      <c r="Y1" s="414"/>
      <c r="Z1" s="414"/>
      <c r="AA1" s="414"/>
      <c r="AB1" s="414"/>
      <c r="AC1" s="414"/>
      <c r="AD1" s="414"/>
      <c r="AE1" s="414"/>
      <c r="AF1" s="414"/>
      <c r="AG1" s="195"/>
    </row>
    <row r="2" spans="1:53" ht="18" hidden="1" x14ac:dyDescent="0.35">
      <c r="A2" s="195"/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5"/>
      <c r="Y2" s="195"/>
      <c r="Z2" s="195"/>
      <c r="AA2" s="195"/>
      <c r="AB2" s="195"/>
      <c r="AC2" s="195"/>
      <c r="AD2" s="195"/>
      <c r="AE2" s="195"/>
      <c r="AF2" s="9"/>
      <c r="AG2" s="9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0"/>
    </row>
    <row r="3" spans="1:53" ht="16.2" thickBot="1" x14ac:dyDescent="0.35">
      <c r="D3" s="413" t="s">
        <v>98</v>
      </c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  <c r="R3" s="413"/>
      <c r="S3" s="413"/>
      <c r="T3" s="413"/>
      <c r="U3" s="413"/>
      <c r="V3" s="413"/>
      <c r="W3" s="413"/>
      <c r="X3" s="413"/>
      <c r="Y3" s="413"/>
      <c r="Z3" s="413"/>
      <c r="AA3" s="413"/>
      <c r="AB3" s="413"/>
      <c r="AC3" s="413"/>
      <c r="AD3" s="413"/>
      <c r="AE3" s="413"/>
      <c r="AF3" s="413"/>
      <c r="AG3" s="196"/>
      <c r="AH3" s="449" t="s">
        <v>12</v>
      </c>
      <c r="AI3" s="449"/>
      <c r="AJ3" s="449"/>
      <c r="AK3" s="449"/>
      <c r="AL3" s="449"/>
      <c r="AM3" s="449"/>
      <c r="AN3" s="449"/>
      <c r="AO3" s="449"/>
      <c r="AP3" s="449"/>
      <c r="AQ3" s="449"/>
      <c r="AR3" s="454" t="s">
        <v>13</v>
      </c>
      <c r="AS3" s="454"/>
      <c r="AT3" s="454"/>
      <c r="AU3" s="454"/>
      <c r="AV3" s="454"/>
      <c r="AW3" s="454"/>
      <c r="AX3" s="454"/>
      <c r="AY3" s="454"/>
      <c r="AZ3" s="454"/>
      <c r="BA3" s="454"/>
    </row>
    <row r="4" spans="1:53" ht="16.2" thickBot="1" x14ac:dyDescent="0.35">
      <c r="A4" s="450" t="s">
        <v>1</v>
      </c>
      <c r="B4" s="452" t="s">
        <v>92</v>
      </c>
      <c r="C4" s="453"/>
      <c r="D4" s="420" t="s">
        <v>2</v>
      </c>
      <c r="E4" s="420"/>
      <c r="F4" s="421"/>
      <c r="G4" s="422" t="s">
        <v>3</v>
      </c>
      <c r="H4" s="423"/>
      <c r="I4" s="424"/>
      <c r="J4" s="425" t="s">
        <v>4</v>
      </c>
      <c r="K4" s="426"/>
      <c r="L4" s="427"/>
      <c r="M4" s="446" t="s">
        <v>5</v>
      </c>
      <c r="N4" s="447"/>
      <c r="O4" s="448"/>
      <c r="P4" s="428" t="s">
        <v>6</v>
      </c>
      <c r="Q4" s="429"/>
      <c r="R4" s="430"/>
      <c r="S4" s="431" t="s">
        <v>7</v>
      </c>
      <c r="T4" s="432"/>
      <c r="U4" s="433"/>
      <c r="V4" s="434" t="s">
        <v>8</v>
      </c>
      <c r="W4" s="435"/>
      <c r="X4" s="436"/>
      <c r="Y4" s="437" t="s">
        <v>9</v>
      </c>
      <c r="Z4" s="438"/>
      <c r="AA4" s="439"/>
      <c r="AB4" s="440" t="s">
        <v>10</v>
      </c>
      <c r="AC4" s="441"/>
      <c r="AD4" s="442"/>
      <c r="AE4" s="443" t="s">
        <v>11</v>
      </c>
      <c r="AF4" s="444"/>
      <c r="AG4" s="444"/>
      <c r="AH4" s="206" t="s">
        <v>2</v>
      </c>
      <c r="AI4" s="206" t="s">
        <v>3</v>
      </c>
      <c r="AJ4" s="206" t="s">
        <v>4</v>
      </c>
      <c r="AK4" s="206" t="s">
        <v>5</v>
      </c>
      <c r="AL4" s="206" t="s">
        <v>6</v>
      </c>
      <c r="AM4" s="206" t="s">
        <v>7</v>
      </c>
      <c r="AN4" s="206" t="s">
        <v>8</v>
      </c>
      <c r="AO4" s="206" t="s">
        <v>9</v>
      </c>
      <c r="AP4" s="206" t="s">
        <v>10</v>
      </c>
      <c r="AQ4" s="347" t="s">
        <v>11</v>
      </c>
      <c r="AR4" s="348" t="s">
        <v>2</v>
      </c>
      <c r="AS4" s="349" t="s">
        <v>3</v>
      </c>
      <c r="AT4" s="349" t="s">
        <v>4</v>
      </c>
      <c r="AU4" s="349" t="s">
        <v>5</v>
      </c>
      <c r="AV4" s="349" t="s">
        <v>6</v>
      </c>
      <c r="AW4" s="349" t="s">
        <v>7</v>
      </c>
      <c r="AX4" s="349" t="s">
        <v>8</v>
      </c>
      <c r="AY4" s="349" t="s">
        <v>9</v>
      </c>
      <c r="AZ4" s="349" t="s">
        <v>10</v>
      </c>
      <c r="BA4" s="350" t="s">
        <v>11</v>
      </c>
    </row>
    <row r="5" spans="1:53" ht="15.75" hidden="1" customHeight="1" x14ac:dyDescent="0.3">
      <c r="A5" s="451"/>
      <c r="B5" s="135" t="s">
        <v>93</v>
      </c>
      <c r="C5" s="136" t="s">
        <v>94</v>
      </c>
      <c r="D5" s="187" t="s">
        <v>95</v>
      </c>
      <c r="E5" s="188" t="s">
        <v>96</v>
      </c>
      <c r="F5" s="189" t="s">
        <v>97</v>
      </c>
      <c r="G5" s="190" t="s">
        <v>95</v>
      </c>
      <c r="H5" s="188" t="s">
        <v>96</v>
      </c>
      <c r="I5" s="191" t="s">
        <v>97</v>
      </c>
      <c r="J5" s="137" t="s">
        <v>95</v>
      </c>
      <c r="K5" s="138" t="s">
        <v>96</v>
      </c>
      <c r="L5" s="139" t="s">
        <v>97</v>
      </c>
      <c r="M5" s="187" t="s">
        <v>95</v>
      </c>
      <c r="N5" s="188" t="s">
        <v>96</v>
      </c>
      <c r="O5" s="189" t="s">
        <v>97</v>
      </c>
      <c r="P5" s="190" t="s">
        <v>95</v>
      </c>
      <c r="Q5" s="188" t="s">
        <v>96</v>
      </c>
      <c r="R5" s="189" t="s">
        <v>97</v>
      </c>
      <c r="S5" s="190" t="s">
        <v>95</v>
      </c>
      <c r="T5" s="188" t="s">
        <v>96</v>
      </c>
      <c r="U5" s="189" t="s">
        <v>97</v>
      </c>
      <c r="V5" s="190" t="s">
        <v>95</v>
      </c>
      <c r="W5" s="188" t="s">
        <v>96</v>
      </c>
      <c r="X5" s="189" t="s">
        <v>97</v>
      </c>
      <c r="Y5" s="190" t="s">
        <v>95</v>
      </c>
      <c r="Z5" s="188" t="s">
        <v>96</v>
      </c>
      <c r="AA5" s="189" t="s">
        <v>97</v>
      </c>
      <c r="AB5" s="190" t="s">
        <v>95</v>
      </c>
      <c r="AC5" s="188" t="s">
        <v>96</v>
      </c>
      <c r="AD5" s="189" t="s">
        <v>97</v>
      </c>
      <c r="AE5" s="190" t="s">
        <v>95</v>
      </c>
      <c r="AF5" s="188" t="s">
        <v>96</v>
      </c>
      <c r="AG5" s="191" t="s">
        <v>97</v>
      </c>
      <c r="AH5" s="229">
        <v>0.9</v>
      </c>
      <c r="AI5" s="229">
        <v>0.9</v>
      </c>
      <c r="AJ5" s="229">
        <v>0.9</v>
      </c>
      <c r="AK5" s="229">
        <v>0.9</v>
      </c>
      <c r="AL5" s="229">
        <v>0.9</v>
      </c>
      <c r="AM5" s="229">
        <v>0.9</v>
      </c>
      <c r="AN5" s="229">
        <v>0.9</v>
      </c>
      <c r="AO5" s="229">
        <v>0.9</v>
      </c>
      <c r="AP5" s="229">
        <v>0.9</v>
      </c>
      <c r="AQ5" s="230">
        <v>0.9</v>
      </c>
      <c r="AR5" s="12"/>
      <c r="AS5" s="12"/>
      <c r="AT5" s="12"/>
      <c r="AU5" s="12"/>
      <c r="AV5" s="12"/>
      <c r="AW5" s="12"/>
      <c r="AX5" s="12"/>
      <c r="AY5" s="12"/>
      <c r="AZ5" s="12"/>
      <c r="BA5" s="13"/>
    </row>
    <row r="6" spans="1:53" hidden="1" x14ac:dyDescent="0.3">
      <c r="A6" s="140" t="s">
        <v>87</v>
      </c>
      <c r="B6" s="141">
        <v>44044</v>
      </c>
      <c r="C6" s="232">
        <v>44074</v>
      </c>
      <c r="D6" s="142">
        <v>0</v>
      </c>
      <c r="E6" s="240">
        <v>2800</v>
      </c>
      <c r="F6" s="241">
        <v>0</v>
      </c>
      <c r="G6" s="235">
        <v>0</v>
      </c>
      <c r="H6" s="142">
        <v>6900</v>
      </c>
      <c r="I6" s="142">
        <v>0</v>
      </c>
      <c r="J6" s="142">
        <v>0</v>
      </c>
      <c r="K6" s="142">
        <v>7100</v>
      </c>
      <c r="L6" s="142">
        <v>0</v>
      </c>
      <c r="M6" s="142">
        <v>0</v>
      </c>
      <c r="N6" s="142">
        <v>5500</v>
      </c>
      <c r="O6" s="142">
        <v>0</v>
      </c>
      <c r="P6" s="142">
        <v>0</v>
      </c>
      <c r="Q6" s="142">
        <v>3850</v>
      </c>
      <c r="R6" s="142">
        <v>0</v>
      </c>
      <c r="S6" s="142">
        <v>0</v>
      </c>
      <c r="T6" s="142">
        <v>1615</v>
      </c>
      <c r="U6" s="142">
        <v>0</v>
      </c>
      <c r="V6" s="142">
        <v>0</v>
      </c>
      <c r="W6" s="142">
        <v>10230</v>
      </c>
      <c r="X6" s="142">
        <v>0</v>
      </c>
      <c r="Y6" s="142">
        <v>0</v>
      </c>
      <c r="Z6" s="142">
        <v>2610</v>
      </c>
      <c r="AA6" s="142">
        <v>0</v>
      </c>
      <c r="AB6" s="142">
        <v>0</v>
      </c>
      <c r="AC6" s="142">
        <v>1950</v>
      </c>
      <c r="AD6" s="142">
        <v>0</v>
      </c>
      <c r="AE6" s="142">
        <v>0</v>
      </c>
      <c r="AF6" s="142">
        <v>10590</v>
      </c>
      <c r="AG6" s="222">
        <v>0</v>
      </c>
      <c r="AH6" s="231">
        <f>+Janvier!AJ6</f>
        <v>8562.51</v>
      </c>
      <c r="AI6" s="231">
        <f>+Janvier!AK6</f>
        <v>29828.509615384621</v>
      </c>
      <c r="AJ6" s="231">
        <f>+Janvier!AL6</f>
        <v>19865.787403846156</v>
      </c>
      <c r="AK6" s="231">
        <f>+Janvier!AM6</f>
        <v>19865.787403846156</v>
      </c>
      <c r="AL6" s="231">
        <f>+Janvier!AN6</f>
        <v>12527.97403846154</v>
      </c>
      <c r="AM6" s="231">
        <f>+Janvier!AO6</f>
        <v>7457.1274038461552</v>
      </c>
      <c r="AN6" s="231">
        <f>+Janvier!AP6</f>
        <v>14914.25480769231</v>
      </c>
      <c r="AO6" s="231">
        <f>+Janvier!AQ6</f>
        <v>7457.1274038461552</v>
      </c>
      <c r="AP6" s="231">
        <f>+Janvier!AR6</f>
        <v>7457.1274038461552</v>
      </c>
      <c r="AQ6" s="231">
        <f>+Janvier!AS6</f>
        <v>13292.847692307696</v>
      </c>
      <c r="AR6" s="16">
        <f>ROUND(E6/(AH6/15),0)</f>
        <v>5</v>
      </c>
      <c r="AS6" s="16">
        <f>ROUND(H6/(AI6/15),0)</f>
        <v>3</v>
      </c>
      <c r="AT6" s="16">
        <f>ROUND(K6/(AJ6/15),0)</f>
        <v>5</v>
      </c>
      <c r="AU6" s="16">
        <f>ROUND(N6/(AK6/15),0)</f>
        <v>4</v>
      </c>
      <c r="AV6" s="16">
        <f>ROUND(Q6/(AL6/15),0)</f>
        <v>5</v>
      </c>
      <c r="AW6" s="16">
        <f>ROUND(T6/(AM6/15),0)</f>
        <v>3</v>
      </c>
      <c r="AX6" s="16">
        <f>ROUND(W6/(AN6/15),0)</f>
        <v>10</v>
      </c>
      <c r="AY6" s="16">
        <f>ROUND(Z6/(AO6/15),0)</f>
        <v>5</v>
      </c>
      <c r="AZ6" s="16">
        <f>ROUND(AC6/(AP6/15),0)</f>
        <v>4</v>
      </c>
      <c r="BA6" s="17">
        <f t="shared" ref="BA6" si="0">ROUND(AF6/(AQ6/15),0)</f>
        <v>12</v>
      </c>
    </row>
    <row r="7" spans="1:53" x14ac:dyDescent="0.3">
      <c r="A7" s="184" t="s">
        <v>100</v>
      </c>
      <c r="B7" s="94">
        <v>44044</v>
      </c>
      <c r="C7" s="233">
        <v>44074</v>
      </c>
      <c r="D7" s="107">
        <v>120</v>
      </c>
      <c r="E7" s="106">
        <v>180</v>
      </c>
      <c r="F7" s="117">
        <v>0</v>
      </c>
      <c r="G7" s="236">
        <v>300</v>
      </c>
      <c r="H7" s="96">
        <v>420</v>
      </c>
      <c r="I7" s="105">
        <v>0</v>
      </c>
      <c r="J7" s="95">
        <v>300</v>
      </c>
      <c r="K7" s="96">
        <v>240</v>
      </c>
      <c r="L7" s="97">
        <v>0</v>
      </c>
      <c r="M7" s="95">
        <v>440</v>
      </c>
      <c r="N7" s="96">
        <v>100</v>
      </c>
      <c r="O7" s="97">
        <v>0</v>
      </c>
      <c r="P7" s="95">
        <v>250</v>
      </c>
      <c r="Q7" s="96">
        <v>121</v>
      </c>
      <c r="R7" s="97">
        <v>0</v>
      </c>
      <c r="S7" s="95">
        <v>100</v>
      </c>
      <c r="T7" s="96">
        <v>105</v>
      </c>
      <c r="U7" s="97">
        <v>0</v>
      </c>
      <c r="V7" s="95">
        <v>300</v>
      </c>
      <c r="W7" s="96">
        <v>160</v>
      </c>
      <c r="X7" s="97">
        <v>0</v>
      </c>
      <c r="Y7" s="95">
        <v>100</v>
      </c>
      <c r="Z7" s="96">
        <v>150</v>
      </c>
      <c r="AA7" s="97">
        <v>0</v>
      </c>
      <c r="AB7" s="95">
        <v>100</v>
      </c>
      <c r="AC7" s="96">
        <v>150</v>
      </c>
      <c r="AD7" s="97">
        <v>0</v>
      </c>
      <c r="AE7" s="95">
        <v>200</v>
      </c>
      <c r="AF7" s="96">
        <v>240</v>
      </c>
      <c r="AG7" s="105">
        <v>0</v>
      </c>
      <c r="AH7" s="231">
        <f>+Janvier!AJ7</f>
        <v>205.71428571428572</v>
      </c>
      <c r="AI7" s="231">
        <f>+Janvier!AK7</f>
        <v>640.00000000000011</v>
      </c>
      <c r="AJ7" s="231">
        <f>+Janvier!AL7</f>
        <v>480</v>
      </c>
      <c r="AK7" s="231">
        <f>+Janvier!AM7</f>
        <v>480</v>
      </c>
      <c r="AL7" s="231">
        <f>+Janvier!AN7</f>
        <v>290.90909090909099</v>
      </c>
      <c r="AM7" s="231">
        <f>+Janvier!AO7</f>
        <v>180.00000000000003</v>
      </c>
      <c r="AN7" s="231">
        <f>+Janvier!AP7</f>
        <v>360.00000000000006</v>
      </c>
      <c r="AO7" s="231">
        <f>+Janvier!AQ7</f>
        <v>180.00000000000003</v>
      </c>
      <c r="AP7" s="231">
        <f>+Janvier!AR7</f>
        <v>180.00000000000003</v>
      </c>
      <c r="AQ7" s="231">
        <f>+Janvier!AS7</f>
        <v>320.00000000000006</v>
      </c>
      <c r="AR7" s="19">
        <f t="shared" ref="AR7:AR13" si="1">ROUND(E7/(AH7/5),0)</f>
        <v>4</v>
      </c>
      <c r="AS7" s="19">
        <f>ROUND(H7/(AI7/5),0)</f>
        <v>3</v>
      </c>
      <c r="AT7" s="19">
        <f>ROUND(K7/(AJ7/5),0)</f>
        <v>3</v>
      </c>
      <c r="AU7" s="19">
        <f>ROUND(N7/(AK7/5),0)</f>
        <v>1</v>
      </c>
      <c r="AV7" s="19">
        <f>ROUND(Q7/(AL7/5),0)</f>
        <v>2</v>
      </c>
      <c r="AW7" s="19">
        <f>ROUND(T7/(AM7/5),0)</f>
        <v>3</v>
      </c>
      <c r="AX7" s="19">
        <f>ROUND(W7/(AN7/5),0)</f>
        <v>2</v>
      </c>
      <c r="AY7" s="19">
        <f>ROUND(Z7/(AO7/5),0)</f>
        <v>4</v>
      </c>
      <c r="AZ7" s="19">
        <f>ROUND(AC7/(AP7/5),0)</f>
        <v>4</v>
      </c>
      <c r="BA7" s="20">
        <f t="shared" ref="BA7:BA13" si="2">ROUND(AF7/(AQ7/5),0)</f>
        <v>4</v>
      </c>
    </row>
    <row r="8" spans="1:53" x14ac:dyDescent="0.3">
      <c r="A8" s="184" t="s">
        <v>101</v>
      </c>
      <c r="B8" s="94">
        <v>44044</v>
      </c>
      <c r="C8" s="233">
        <v>44074</v>
      </c>
      <c r="D8" s="107">
        <v>900</v>
      </c>
      <c r="E8" s="96">
        <v>220</v>
      </c>
      <c r="F8" s="97">
        <v>0</v>
      </c>
      <c r="G8" s="237">
        <v>2000</v>
      </c>
      <c r="H8" s="96">
        <v>420</v>
      </c>
      <c r="I8" s="105">
        <v>0</v>
      </c>
      <c r="J8" s="95">
        <v>1600</v>
      </c>
      <c r="K8" s="96">
        <v>450</v>
      </c>
      <c r="L8" s="97">
        <v>0</v>
      </c>
      <c r="M8" s="95">
        <v>1600</v>
      </c>
      <c r="N8" s="96">
        <v>420</v>
      </c>
      <c r="O8" s="97">
        <v>0</v>
      </c>
      <c r="P8" s="95">
        <v>1050</v>
      </c>
      <c r="Q8" s="96">
        <v>500</v>
      </c>
      <c r="R8" s="97">
        <v>0</v>
      </c>
      <c r="S8" s="95">
        <v>330</v>
      </c>
      <c r="T8" s="96">
        <v>175</v>
      </c>
      <c r="U8" s="97">
        <v>0</v>
      </c>
      <c r="V8" s="95">
        <v>800</v>
      </c>
      <c r="W8" s="96">
        <v>620</v>
      </c>
      <c r="X8" s="97">
        <v>0</v>
      </c>
      <c r="Y8" s="95">
        <v>610</v>
      </c>
      <c r="Z8" s="96">
        <v>330</v>
      </c>
      <c r="AA8" s="97">
        <v>0</v>
      </c>
      <c r="AB8" s="95">
        <v>600</v>
      </c>
      <c r="AC8" s="96">
        <v>270</v>
      </c>
      <c r="AD8" s="97">
        <v>0</v>
      </c>
      <c r="AE8" s="95">
        <v>1200</v>
      </c>
      <c r="AF8" s="96">
        <v>570</v>
      </c>
      <c r="AG8" s="105">
        <v>0</v>
      </c>
      <c r="AH8" s="231">
        <f>+Janvier!AJ8</f>
        <v>676.23626373626382</v>
      </c>
      <c r="AI8" s="231">
        <f>+Janvier!AK8</f>
        <v>2103.8461538461538</v>
      </c>
      <c r="AJ8" s="231">
        <f>+Janvier!AL8</f>
        <v>1577.8846153846155</v>
      </c>
      <c r="AK8" s="231">
        <f>+Janvier!AM8</f>
        <v>1577.8846153846155</v>
      </c>
      <c r="AL8" s="231">
        <f>+Janvier!AN8</f>
        <v>956.29370629370646</v>
      </c>
      <c r="AM8" s="231">
        <f>+Janvier!AO8</f>
        <v>591.70673076923083</v>
      </c>
      <c r="AN8" s="231">
        <f>+Janvier!AP8</f>
        <v>1183.4134615384617</v>
      </c>
      <c r="AO8" s="231">
        <f>+Janvier!AQ8</f>
        <v>591.70673076923083</v>
      </c>
      <c r="AP8" s="231">
        <f>+Janvier!AR8</f>
        <v>591.70673076923083</v>
      </c>
      <c r="AQ8" s="231">
        <f>+Janvier!AS8</f>
        <v>1051.9230769230769</v>
      </c>
      <c r="AR8" s="19">
        <f t="shared" si="1"/>
        <v>2</v>
      </c>
      <c r="AS8" s="19">
        <f t="shared" ref="AS8:AS13" si="3">ROUND(H8/(AI8/5),0)</f>
        <v>1</v>
      </c>
      <c r="AT8" s="19">
        <f t="shared" ref="AT8:AT13" si="4">ROUND(K8/(AJ8/5),0)</f>
        <v>1</v>
      </c>
      <c r="AU8" s="19">
        <f t="shared" ref="AU8:AU13" si="5">ROUND(N8/(AK8/5),0)</f>
        <v>1</v>
      </c>
      <c r="AV8" s="19">
        <f t="shared" ref="AV8:AV13" si="6">ROUND(Q8/(AL8/5),0)</f>
        <v>3</v>
      </c>
      <c r="AW8" s="19">
        <f t="shared" ref="AW8:AW13" si="7">ROUND(T8/(AM8/5),0)</f>
        <v>1</v>
      </c>
      <c r="AX8" s="19">
        <f t="shared" ref="AX8:AX13" si="8">ROUND(W8/(AN8/5),0)</f>
        <v>3</v>
      </c>
      <c r="AY8" s="19">
        <f t="shared" ref="AY8:AY13" si="9">ROUND(Z8/(AO8/5),0)</f>
        <v>3</v>
      </c>
      <c r="AZ8" s="19">
        <f t="shared" ref="AZ8:AZ13" si="10">ROUND(AC8/(AP8/5),0)</f>
        <v>2</v>
      </c>
      <c r="BA8" s="20">
        <f t="shared" si="2"/>
        <v>3</v>
      </c>
    </row>
    <row r="9" spans="1:53" x14ac:dyDescent="0.3">
      <c r="A9" s="184" t="s">
        <v>102</v>
      </c>
      <c r="B9" s="94">
        <v>44044</v>
      </c>
      <c r="C9" s="233">
        <v>44074</v>
      </c>
      <c r="D9" s="107">
        <v>480</v>
      </c>
      <c r="E9" s="96">
        <v>700</v>
      </c>
      <c r="F9" s="97">
        <v>0</v>
      </c>
      <c r="G9" s="237">
        <v>1400</v>
      </c>
      <c r="H9" s="96">
        <v>1860</v>
      </c>
      <c r="I9" s="105">
        <v>0</v>
      </c>
      <c r="J9" s="95">
        <v>800</v>
      </c>
      <c r="K9" s="96">
        <v>220</v>
      </c>
      <c r="L9" s="97">
        <v>0</v>
      </c>
      <c r="M9" s="95">
        <v>1000</v>
      </c>
      <c r="N9" s="96">
        <v>456</v>
      </c>
      <c r="O9" s="97">
        <v>0</v>
      </c>
      <c r="P9" s="95">
        <v>600</v>
      </c>
      <c r="Q9" s="96">
        <v>290</v>
      </c>
      <c r="R9" s="97">
        <v>0</v>
      </c>
      <c r="S9" s="95">
        <v>80</v>
      </c>
      <c r="T9" s="96">
        <v>380</v>
      </c>
      <c r="U9" s="97">
        <v>0</v>
      </c>
      <c r="V9" s="95">
        <v>0</v>
      </c>
      <c r="W9" s="96">
        <v>1280</v>
      </c>
      <c r="X9" s="97">
        <v>0</v>
      </c>
      <c r="Y9" s="95">
        <v>100</v>
      </c>
      <c r="Z9" s="96">
        <v>480</v>
      </c>
      <c r="AA9" s="97">
        <v>0</v>
      </c>
      <c r="AB9" s="95">
        <v>500</v>
      </c>
      <c r="AC9" s="96">
        <v>100</v>
      </c>
      <c r="AD9" s="97">
        <v>0</v>
      </c>
      <c r="AE9" s="95">
        <v>420</v>
      </c>
      <c r="AF9" s="96">
        <v>690</v>
      </c>
      <c r="AG9" s="105">
        <v>0</v>
      </c>
      <c r="AH9" s="231">
        <f>+Janvier!AJ9</f>
        <v>611.82692307692309</v>
      </c>
      <c r="AI9" s="231">
        <f>+Janvier!AK9</f>
        <v>1903.4615384615386</v>
      </c>
      <c r="AJ9" s="231">
        <f>+Janvier!AL9</f>
        <v>1427.5961538461543</v>
      </c>
      <c r="AK9" s="231">
        <f>+Janvier!AM9</f>
        <v>1427.5961538461543</v>
      </c>
      <c r="AL9" s="231">
        <f>+Janvier!AN9</f>
        <v>865.20979020979041</v>
      </c>
      <c r="AM9" s="231">
        <f>+Janvier!AO9</f>
        <v>535.34855769230762</v>
      </c>
      <c r="AN9" s="231">
        <f>+Janvier!AP9</f>
        <v>1070.6971153846152</v>
      </c>
      <c r="AO9" s="231">
        <f>+Janvier!AQ9</f>
        <v>535.34855769230762</v>
      </c>
      <c r="AP9" s="231">
        <f>+Janvier!AR9</f>
        <v>535.34855769230762</v>
      </c>
      <c r="AQ9" s="231">
        <f>+Janvier!AS9</f>
        <v>951.73076923076928</v>
      </c>
      <c r="AR9" s="19">
        <f t="shared" si="1"/>
        <v>6</v>
      </c>
      <c r="AS9" s="19">
        <f t="shared" si="3"/>
        <v>5</v>
      </c>
      <c r="AT9" s="19">
        <f t="shared" si="4"/>
        <v>1</v>
      </c>
      <c r="AU9" s="19">
        <f t="shared" si="5"/>
        <v>2</v>
      </c>
      <c r="AV9" s="19">
        <f t="shared" si="6"/>
        <v>2</v>
      </c>
      <c r="AW9" s="19">
        <f t="shared" si="7"/>
        <v>4</v>
      </c>
      <c r="AX9" s="19">
        <f t="shared" si="8"/>
        <v>6</v>
      </c>
      <c r="AY9" s="19">
        <f t="shared" si="9"/>
        <v>4</v>
      </c>
      <c r="AZ9" s="19">
        <f t="shared" si="10"/>
        <v>1</v>
      </c>
      <c r="BA9" s="20">
        <f t="shared" si="2"/>
        <v>4</v>
      </c>
    </row>
    <row r="10" spans="1:53" x14ac:dyDescent="0.3">
      <c r="A10" s="184" t="s">
        <v>34</v>
      </c>
      <c r="B10" s="94">
        <v>44044</v>
      </c>
      <c r="C10" s="233">
        <v>44074</v>
      </c>
      <c r="D10" s="107">
        <v>120</v>
      </c>
      <c r="E10" s="96">
        <v>20</v>
      </c>
      <c r="F10" s="97">
        <v>0</v>
      </c>
      <c r="G10" s="237">
        <v>300</v>
      </c>
      <c r="H10" s="96">
        <v>180</v>
      </c>
      <c r="I10" s="105">
        <v>0</v>
      </c>
      <c r="J10" s="95">
        <v>240</v>
      </c>
      <c r="K10" s="96">
        <v>150</v>
      </c>
      <c r="L10" s="97">
        <v>0</v>
      </c>
      <c r="M10" s="95">
        <v>252</v>
      </c>
      <c r="N10" s="96">
        <v>112</v>
      </c>
      <c r="O10" s="97">
        <v>0</v>
      </c>
      <c r="P10" s="95">
        <v>200</v>
      </c>
      <c r="Q10" s="96">
        <v>40</v>
      </c>
      <c r="R10" s="97">
        <v>0</v>
      </c>
      <c r="S10" s="95">
        <v>0</v>
      </c>
      <c r="T10" s="96">
        <v>160</v>
      </c>
      <c r="U10" s="97">
        <v>0</v>
      </c>
      <c r="V10" s="95">
        <v>0</v>
      </c>
      <c r="W10" s="96">
        <v>220</v>
      </c>
      <c r="X10" s="97">
        <v>0</v>
      </c>
      <c r="Y10" s="95">
        <v>100</v>
      </c>
      <c r="Z10" s="96">
        <v>110</v>
      </c>
      <c r="AA10" s="97">
        <v>0</v>
      </c>
      <c r="AB10" s="95">
        <v>100</v>
      </c>
      <c r="AC10" s="96">
        <v>40</v>
      </c>
      <c r="AD10" s="97">
        <v>0</v>
      </c>
      <c r="AE10" s="95">
        <v>130</v>
      </c>
      <c r="AF10" s="96">
        <v>170</v>
      </c>
      <c r="AG10" s="105">
        <v>0</v>
      </c>
      <c r="AH10" s="231">
        <f>+Janvier!AJ10</f>
        <v>104.46428571428572</v>
      </c>
      <c r="AI10" s="231">
        <f>+Janvier!AK10</f>
        <v>325</v>
      </c>
      <c r="AJ10" s="231">
        <f>+Janvier!AL10</f>
        <v>243.75</v>
      </c>
      <c r="AK10" s="231">
        <f>+Janvier!AM10</f>
        <v>243.75</v>
      </c>
      <c r="AL10" s="231">
        <f>+Janvier!AN10</f>
        <v>147.72727272727275</v>
      </c>
      <c r="AM10" s="231">
        <f>+Janvier!AO10</f>
        <v>91.40625</v>
      </c>
      <c r="AN10" s="231">
        <f>+Janvier!AP10</f>
        <v>182.8125</v>
      </c>
      <c r="AO10" s="231">
        <f>+Janvier!AQ10</f>
        <v>91.40625</v>
      </c>
      <c r="AP10" s="231">
        <f>+Janvier!AR10</f>
        <v>91.40625</v>
      </c>
      <c r="AQ10" s="231">
        <f>+Janvier!AS10</f>
        <v>162.5</v>
      </c>
      <c r="AR10" s="19">
        <f t="shared" si="1"/>
        <v>1</v>
      </c>
      <c r="AS10" s="19">
        <f t="shared" si="3"/>
        <v>3</v>
      </c>
      <c r="AT10" s="19">
        <f t="shared" si="4"/>
        <v>3</v>
      </c>
      <c r="AU10" s="19">
        <f t="shared" si="5"/>
        <v>2</v>
      </c>
      <c r="AV10" s="19">
        <f t="shared" si="6"/>
        <v>1</v>
      </c>
      <c r="AW10" s="19">
        <f t="shared" si="7"/>
        <v>9</v>
      </c>
      <c r="AX10" s="19">
        <f t="shared" si="8"/>
        <v>6</v>
      </c>
      <c r="AY10" s="19">
        <f t="shared" si="9"/>
        <v>6</v>
      </c>
      <c r="AZ10" s="19">
        <f t="shared" si="10"/>
        <v>2</v>
      </c>
      <c r="BA10" s="20">
        <f t="shared" si="2"/>
        <v>5</v>
      </c>
    </row>
    <row r="11" spans="1:53" x14ac:dyDescent="0.3">
      <c r="A11" s="184" t="s">
        <v>103</v>
      </c>
      <c r="B11" s="94">
        <v>44044</v>
      </c>
      <c r="C11" s="233">
        <v>44074</v>
      </c>
      <c r="D11" s="107">
        <v>160</v>
      </c>
      <c r="E11" s="96">
        <v>120</v>
      </c>
      <c r="F11" s="97">
        <v>0</v>
      </c>
      <c r="G11" s="237">
        <v>360</v>
      </c>
      <c r="H11" s="96">
        <v>320</v>
      </c>
      <c r="I11" s="105">
        <v>0</v>
      </c>
      <c r="J11" s="95">
        <v>300</v>
      </c>
      <c r="K11" s="96">
        <v>320</v>
      </c>
      <c r="L11" s="97">
        <v>0</v>
      </c>
      <c r="M11" s="95">
        <v>308</v>
      </c>
      <c r="N11" s="96">
        <v>332</v>
      </c>
      <c r="O11" s="97">
        <v>0</v>
      </c>
      <c r="P11" s="95">
        <v>200</v>
      </c>
      <c r="Q11" s="96">
        <v>205</v>
      </c>
      <c r="R11" s="97">
        <v>0</v>
      </c>
      <c r="S11" s="95">
        <v>80</v>
      </c>
      <c r="T11" s="96">
        <v>100</v>
      </c>
      <c r="U11" s="97">
        <v>0</v>
      </c>
      <c r="V11" s="95">
        <v>220</v>
      </c>
      <c r="W11" s="96">
        <v>370</v>
      </c>
      <c r="X11" s="97">
        <v>0</v>
      </c>
      <c r="Y11" s="95">
        <v>140</v>
      </c>
      <c r="Z11" s="96">
        <v>140</v>
      </c>
      <c r="AA11" s="97">
        <v>0</v>
      </c>
      <c r="AB11" s="95">
        <v>70</v>
      </c>
      <c r="AC11" s="96">
        <v>160</v>
      </c>
      <c r="AD11" s="97">
        <v>0</v>
      </c>
      <c r="AE11" s="95">
        <v>300</v>
      </c>
      <c r="AF11" s="96">
        <v>290</v>
      </c>
      <c r="AG11" s="105">
        <v>0</v>
      </c>
      <c r="AH11" s="231">
        <f>+Janvier!AJ11</f>
        <v>190.75549450549454</v>
      </c>
      <c r="AI11" s="231">
        <f>+Janvier!AK11</f>
        <v>593.46153846153857</v>
      </c>
      <c r="AJ11" s="231">
        <f>+Janvier!AL11</f>
        <v>445.09615384615392</v>
      </c>
      <c r="AK11" s="231">
        <f>+Janvier!AM11</f>
        <v>445.09615384615392</v>
      </c>
      <c r="AL11" s="231">
        <f>+Janvier!AN11</f>
        <v>269.7552447552448</v>
      </c>
      <c r="AM11" s="231">
        <f>+Janvier!AO11</f>
        <v>166.91105769230771</v>
      </c>
      <c r="AN11" s="231">
        <f>+Janvier!AP11</f>
        <v>333.82211538461542</v>
      </c>
      <c r="AO11" s="231">
        <f>+Janvier!AQ11</f>
        <v>166.91105769230771</v>
      </c>
      <c r="AP11" s="231">
        <f>+Janvier!AR11</f>
        <v>166.91105769230771</v>
      </c>
      <c r="AQ11" s="231">
        <f>+Janvier!AS11</f>
        <v>296.73076923076928</v>
      </c>
      <c r="AR11" s="19">
        <f t="shared" si="1"/>
        <v>3</v>
      </c>
      <c r="AS11" s="19">
        <f t="shared" si="3"/>
        <v>3</v>
      </c>
      <c r="AT11" s="19">
        <f t="shared" si="4"/>
        <v>4</v>
      </c>
      <c r="AU11" s="19">
        <f t="shared" si="5"/>
        <v>4</v>
      </c>
      <c r="AV11" s="19">
        <f t="shared" si="6"/>
        <v>4</v>
      </c>
      <c r="AW11" s="19">
        <f t="shared" si="7"/>
        <v>3</v>
      </c>
      <c r="AX11" s="19">
        <f t="shared" si="8"/>
        <v>6</v>
      </c>
      <c r="AY11" s="19">
        <f t="shared" si="9"/>
        <v>4</v>
      </c>
      <c r="AZ11" s="19">
        <f t="shared" si="10"/>
        <v>5</v>
      </c>
      <c r="BA11" s="20">
        <f t="shared" si="2"/>
        <v>5</v>
      </c>
    </row>
    <row r="12" spans="1:53" x14ac:dyDescent="0.3">
      <c r="A12" s="184" t="s">
        <v>104</v>
      </c>
      <c r="B12" s="94">
        <v>44044</v>
      </c>
      <c r="C12" s="233">
        <v>44074</v>
      </c>
      <c r="D12" s="107">
        <v>440</v>
      </c>
      <c r="E12" s="106">
        <v>180</v>
      </c>
      <c r="F12" s="117">
        <v>0</v>
      </c>
      <c r="G12" s="236">
        <v>1000</v>
      </c>
      <c r="H12" s="96">
        <v>360</v>
      </c>
      <c r="I12" s="105">
        <v>0</v>
      </c>
      <c r="J12" s="95">
        <v>900</v>
      </c>
      <c r="K12" s="96">
        <v>260</v>
      </c>
      <c r="L12" s="97">
        <v>0</v>
      </c>
      <c r="M12" s="95">
        <v>800</v>
      </c>
      <c r="N12" s="96">
        <v>368</v>
      </c>
      <c r="O12" s="97">
        <v>0</v>
      </c>
      <c r="P12" s="95">
        <v>450</v>
      </c>
      <c r="Q12" s="96">
        <v>278</v>
      </c>
      <c r="R12" s="97">
        <v>0</v>
      </c>
      <c r="S12" s="95">
        <v>300</v>
      </c>
      <c r="T12" s="96">
        <v>145</v>
      </c>
      <c r="U12" s="97">
        <v>0</v>
      </c>
      <c r="V12" s="95">
        <v>300</v>
      </c>
      <c r="W12" s="96">
        <v>90</v>
      </c>
      <c r="X12" s="97">
        <v>0</v>
      </c>
      <c r="Y12" s="95">
        <v>350</v>
      </c>
      <c r="Z12" s="96">
        <v>130</v>
      </c>
      <c r="AA12" s="97">
        <v>0</v>
      </c>
      <c r="AB12" s="95">
        <v>300</v>
      </c>
      <c r="AC12" s="96">
        <v>50</v>
      </c>
      <c r="AD12" s="97">
        <v>0</v>
      </c>
      <c r="AE12" s="95">
        <v>400</v>
      </c>
      <c r="AF12" s="96">
        <v>410</v>
      </c>
      <c r="AG12" s="105">
        <v>0</v>
      </c>
      <c r="AH12" s="231">
        <f>+Janvier!AJ12</f>
        <v>302.3901098901099</v>
      </c>
      <c r="AI12" s="231">
        <f>+Janvier!AK12</f>
        <v>940.76923076923083</v>
      </c>
      <c r="AJ12" s="231">
        <f>+Janvier!AL12</f>
        <v>705.57692307692321</v>
      </c>
      <c r="AK12" s="231">
        <f>+Janvier!AM12</f>
        <v>705.57692307692321</v>
      </c>
      <c r="AL12" s="231">
        <f>+Janvier!AN12</f>
        <v>427.62237762237766</v>
      </c>
      <c r="AM12" s="231">
        <f>+Janvier!AO12</f>
        <v>264.59134615384619</v>
      </c>
      <c r="AN12" s="231">
        <f>+Janvier!AP12</f>
        <v>529.18269230769238</v>
      </c>
      <c r="AO12" s="231">
        <f>+Janvier!AQ12</f>
        <v>264.59134615384619</v>
      </c>
      <c r="AP12" s="231">
        <f>+Janvier!AR12</f>
        <v>264.59134615384619</v>
      </c>
      <c r="AQ12" s="231">
        <f>+Janvier!AS12</f>
        <v>470.38461538461542</v>
      </c>
      <c r="AR12" s="19">
        <f t="shared" si="1"/>
        <v>3</v>
      </c>
      <c r="AS12" s="19">
        <f t="shared" si="3"/>
        <v>2</v>
      </c>
      <c r="AT12" s="19">
        <f t="shared" si="4"/>
        <v>2</v>
      </c>
      <c r="AU12" s="19">
        <f t="shared" si="5"/>
        <v>3</v>
      </c>
      <c r="AV12" s="19">
        <f t="shared" si="6"/>
        <v>3</v>
      </c>
      <c r="AW12" s="19">
        <f t="shared" si="7"/>
        <v>3</v>
      </c>
      <c r="AX12" s="19">
        <f t="shared" si="8"/>
        <v>1</v>
      </c>
      <c r="AY12" s="19">
        <f t="shared" si="9"/>
        <v>2</v>
      </c>
      <c r="AZ12" s="19">
        <f t="shared" si="10"/>
        <v>1</v>
      </c>
      <c r="BA12" s="20">
        <f t="shared" si="2"/>
        <v>4</v>
      </c>
    </row>
    <row r="13" spans="1:53" ht="15" thickBot="1" x14ac:dyDescent="0.35">
      <c r="A13" s="121" t="s">
        <v>105</v>
      </c>
      <c r="B13" s="143">
        <v>44044</v>
      </c>
      <c r="C13" s="234">
        <v>44074</v>
      </c>
      <c r="D13" s="249">
        <v>880</v>
      </c>
      <c r="E13" s="250">
        <v>460</v>
      </c>
      <c r="F13" s="251">
        <v>0</v>
      </c>
      <c r="G13" s="238">
        <v>1100</v>
      </c>
      <c r="H13" s="109">
        <v>780</v>
      </c>
      <c r="I13" s="112">
        <v>0</v>
      </c>
      <c r="J13" s="111">
        <v>900</v>
      </c>
      <c r="K13" s="109">
        <v>590</v>
      </c>
      <c r="L13" s="110">
        <v>0</v>
      </c>
      <c r="M13" s="111">
        <v>0</v>
      </c>
      <c r="N13" s="109">
        <v>860</v>
      </c>
      <c r="O13" s="110">
        <v>0</v>
      </c>
      <c r="P13" s="111">
        <v>650</v>
      </c>
      <c r="Q13" s="109">
        <v>288</v>
      </c>
      <c r="R13" s="110">
        <v>0</v>
      </c>
      <c r="S13" s="111">
        <v>300</v>
      </c>
      <c r="T13" s="109">
        <v>120</v>
      </c>
      <c r="U13" s="110">
        <v>0</v>
      </c>
      <c r="V13" s="111">
        <v>450</v>
      </c>
      <c r="W13" s="109">
        <v>750</v>
      </c>
      <c r="X13" s="110">
        <v>0</v>
      </c>
      <c r="Y13" s="111">
        <v>410</v>
      </c>
      <c r="Z13" s="109">
        <v>210</v>
      </c>
      <c r="AA13" s="110">
        <v>0</v>
      </c>
      <c r="AB13" s="111">
        <v>500</v>
      </c>
      <c r="AC13" s="109">
        <v>310</v>
      </c>
      <c r="AD13" s="110">
        <v>0</v>
      </c>
      <c r="AE13" s="111">
        <v>420</v>
      </c>
      <c r="AF13" s="109">
        <v>810</v>
      </c>
      <c r="AG13" s="112">
        <v>0</v>
      </c>
      <c r="AH13" s="231">
        <f>+Janvier!AJ13</f>
        <v>749.42307692307691</v>
      </c>
      <c r="AI13" s="231">
        <f>+Janvier!AK13</f>
        <v>2331.5384615384619</v>
      </c>
      <c r="AJ13" s="231">
        <f>+Janvier!AL13</f>
        <v>1748.6538461538464</v>
      </c>
      <c r="AK13" s="231">
        <f>+Janvier!AM13</f>
        <v>1748.6538461538464</v>
      </c>
      <c r="AL13" s="231">
        <f>+Janvier!AN13</f>
        <v>1059.7902097902099</v>
      </c>
      <c r="AM13" s="231">
        <f>+Janvier!AO13</f>
        <v>655.74519230769226</v>
      </c>
      <c r="AN13" s="231">
        <f>+Janvier!AP13</f>
        <v>1311.4903846153845</v>
      </c>
      <c r="AO13" s="231">
        <f>+Janvier!AQ13</f>
        <v>655.74519230769226</v>
      </c>
      <c r="AP13" s="231">
        <f>+Janvier!AR13</f>
        <v>655.74519230769226</v>
      </c>
      <c r="AQ13" s="231">
        <f>+Janvier!AS13</f>
        <v>1165.7692307692309</v>
      </c>
      <c r="AR13" s="29">
        <f t="shared" si="1"/>
        <v>3</v>
      </c>
      <c r="AS13" s="29">
        <f t="shared" si="3"/>
        <v>2</v>
      </c>
      <c r="AT13" s="29">
        <f t="shared" si="4"/>
        <v>2</v>
      </c>
      <c r="AU13" s="29">
        <f t="shared" si="5"/>
        <v>2</v>
      </c>
      <c r="AV13" s="29">
        <f t="shared" si="6"/>
        <v>1</v>
      </c>
      <c r="AW13" s="29">
        <f t="shared" si="7"/>
        <v>1</v>
      </c>
      <c r="AX13" s="29">
        <f t="shared" si="8"/>
        <v>3</v>
      </c>
      <c r="AY13" s="29">
        <f t="shared" si="9"/>
        <v>2</v>
      </c>
      <c r="AZ13" s="29">
        <f t="shared" si="10"/>
        <v>2</v>
      </c>
      <c r="BA13" s="30">
        <f t="shared" si="2"/>
        <v>3</v>
      </c>
    </row>
    <row r="14" spans="1:53" x14ac:dyDescent="0.3">
      <c r="A14" s="140" t="s">
        <v>85</v>
      </c>
      <c r="B14" s="152">
        <v>44044</v>
      </c>
      <c r="C14" s="242">
        <v>44078</v>
      </c>
      <c r="D14" s="155">
        <v>13000</v>
      </c>
      <c r="E14" s="154">
        <v>10720</v>
      </c>
      <c r="F14" s="165">
        <v>0</v>
      </c>
      <c r="G14" s="245">
        <v>11500</v>
      </c>
      <c r="H14" s="167">
        <v>7720</v>
      </c>
      <c r="I14" s="168">
        <v>0</v>
      </c>
      <c r="J14" s="155">
        <v>28100</v>
      </c>
      <c r="K14" s="154">
        <v>26180</v>
      </c>
      <c r="L14" s="153">
        <v>0</v>
      </c>
      <c r="M14" s="155">
        <v>26200</v>
      </c>
      <c r="N14" s="154">
        <v>25356</v>
      </c>
      <c r="O14" s="153">
        <v>0</v>
      </c>
      <c r="P14" s="155">
        <v>16200</v>
      </c>
      <c r="Q14" s="154">
        <v>15252</v>
      </c>
      <c r="R14" s="153">
        <v>0</v>
      </c>
      <c r="S14" s="155">
        <v>8700</v>
      </c>
      <c r="T14" s="154">
        <v>8320</v>
      </c>
      <c r="U14" s="153">
        <v>0</v>
      </c>
      <c r="V14" s="155">
        <v>0</v>
      </c>
      <c r="W14" s="154">
        <v>15170</v>
      </c>
      <c r="X14" s="153">
        <v>0</v>
      </c>
      <c r="Y14" s="155">
        <v>10000</v>
      </c>
      <c r="Z14" s="154">
        <v>9150</v>
      </c>
      <c r="AA14" s="153">
        <v>0</v>
      </c>
      <c r="AB14" s="155">
        <v>10400</v>
      </c>
      <c r="AC14" s="154">
        <v>8970</v>
      </c>
      <c r="AD14" s="153">
        <v>0</v>
      </c>
      <c r="AE14" s="155">
        <v>18000</v>
      </c>
      <c r="AF14" s="154">
        <v>16990</v>
      </c>
      <c r="AG14" s="223">
        <v>0</v>
      </c>
      <c r="AH14" s="231">
        <f>+Janvier!AJ14</f>
        <v>10845.32625</v>
      </c>
      <c r="AI14" s="231">
        <f>+Janvier!AK14</f>
        <v>37883.076923076922</v>
      </c>
      <c r="AJ14" s="231">
        <f>+Janvier!AL14</f>
        <v>25230.129230769231</v>
      </c>
      <c r="AK14" s="231">
        <f>+Janvier!AM14</f>
        <v>25230.129230769231</v>
      </c>
      <c r="AL14" s="231">
        <f>+Janvier!AN14</f>
        <v>15910.892307692309</v>
      </c>
      <c r="AM14" s="231">
        <f>+Janvier!AO14</f>
        <v>9470.7692307692305</v>
      </c>
      <c r="AN14" s="231">
        <f>+Janvier!AP14</f>
        <v>18941.538461538461</v>
      </c>
      <c r="AO14" s="231">
        <f>+Janvier!AQ14</f>
        <v>9470.7692307692305</v>
      </c>
      <c r="AP14" s="231">
        <f>+Janvier!AR14</f>
        <v>9470.7692307692305</v>
      </c>
      <c r="AQ14" s="231">
        <f>+Janvier!AS14</f>
        <v>16836.800192307695</v>
      </c>
      <c r="AR14" s="16">
        <f>ROUND(E14/(AH14/15),0)</f>
        <v>15</v>
      </c>
      <c r="AS14" s="16">
        <f t="shared" ref="AS14" si="11">ROUND(H14/(AI14/15),0)</f>
        <v>3</v>
      </c>
      <c r="AT14" s="16">
        <f t="shared" ref="AT14" si="12">ROUND(K14/(AJ14/15),0)</f>
        <v>16</v>
      </c>
      <c r="AU14" s="16">
        <f t="shared" ref="AU14" si="13">ROUND(N14/(AK14/15),0)</f>
        <v>15</v>
      </c>
      <c r="AV14" s="16">
        <f t="shared" ref="AV14" si="14">ROUND(Q14/(AL14/15),0)</f>
        <v>14</v>
      </c>
      <c r="AW14" s="16">
        <f t="shared" ref="AW14" si="15">ROUND(T14/(AM14/15),0)</f>
        <v>13</v>
      </c>
      <c r="AX14" s="16">
        <f t="shared" ref="AX14" si="16">ROUND(W14/(AN14/15),0)</f>
        <v>12</v>
      </c>
      <c r="AY14" s="16">
        <f t="shared" ref="AY14" si="17">ROUND(Z14/(AO14/15),0)</f>
        <v>14</v>
      </c>
      <c r="AZ14" s="16">
        <f t="shared" ref="AZ14" si="18">ROUND(AC14/(AP14/15),0)</f>
        <v>14</v>
      </c>
      <c r="BA14" s="17">
        <f t="shared" ref="BA14" si="19">ROUND(AF14/(AQ14/15),0)</f>
        <v>15</v>
      </c>
    </row>
    <row r="15" spans="1:53" x14ac:dyDescent="0.3">
      <c r="A15" s="184" t="s">
        <v>57</v>
      </c>
      <c r="B15" s="127">
        <v>44044</v>
      </c>
      <c r="C15" s="243">
        <v>44078</v>
      </c>
      <c r="D15" s="130">
        <v>0</v>
      </c>
      <c r="E15" s="129">
        <v>140</v>
      </c>
      <c r="F15" s="169">
        <v>0</v>
      </c>
      <c r="G15" s="246">
        <v>0</v>
      </c>
      <c r="H15" s="171">
        <v>280</v>
      </c>
      <c r="I15" s="172">
        <v>0</v>
      </c>
      <c r="J15" s="130">
        <v>0</v>
      </c>
      <c r="K15" s="129">
        <v>200</v>
      </c>
      <c r="L15" s="128">
        <v>0</v>
      </c>
      <c r="M15" s="130">
        <v>0</v>
      </c>
      <c r="N15" s="129">
        <v>200</v>
      </c>
      <c r="O15" s="128">
        <v>0</v>
      </c>
      <c r="P15" s="130">
        <v>0</v>
      </c>
      <c r="Q15" s="129">
        <v>125</v>
      </c>
      <c r="R15" s="128">
        <v>0</v>
      </c>
      <c r="S15" s="130">
        <v>0</v>
      </c>
      <c r="T15" s="129">
        <v>70</v>
      </c>
      <c r="U15" s="128">
        <v>0</v>
      </c>
      <c r="V15" s="130">
        <v>0</v>
      </c>
      <c r="W15" s="129">
        <v>300</v>
      </c>
      <c r="X15" s="128">
        <v>0</v>
      </c>
      <c r="Y15" s="130">
        <v>0</v>
      </c>
      <c r="Z15" s="129">
        <v>90</v>
      </c>
      <c r="AA15" s="128">
        <v>0</v>
      </c>
      <c r="AB15" s="130">
        <v>0</v>
      </c>
      <c r="AC15" s="129">
        <v>90</v>
      </c>
      <c r="AD15" s="128">
        <v>0</v>
      </c>
      <c r="AE15" s="130">
        <v>0</v>
      </c>
      <c r="AF15" s="129">
        <v>200</v>
      </c>
      <c r="AG15" s="224">
        <v>0</v>
      </c>
      <c r="AH15" s="231">
        <f>+Janvier!AJ15</f>
        <v>567.93956043956052</v>
      </c>
      <c r="AI15" s="231">
        <f>+Janvier!AK15</f>
        <v>1766.9230769230774</v>
      </c>
      <c r="AJ15" s="231">
        <f>+Janvier!AL15</f>
        <v>1325.1923076923076</v>
      </c>
      <c r="AK15" s="231">
        <f>+Janvier!AM15</f>
        <v>1325.1923076923076</v>
      </c>
      <c r="AL15" s="231">
        <f>+Janvier!AN15</f>
        <v>803.14685314685323</v>
      </c>
      <c r="AM15" s="231">
        <f>+Janvier!AO15</f>
        <v>496.94711538461542</v>
      </c>
      <c r="AN15" s="231">
        <f>+Janvier!AP15</f>
        <v>993.89423076923083</v>
      </c>
      <c r="AO15" s="231">
        <f>+Janvier!AQ15</f>
        <v>496.94711538461542</v>
      </c>
      <c r="AP15" s="231">
        <f>+Janvier!AR15</f>
        <v>496.94711538461542</v>
      </c>
      <c r="AQ15" s="231">
        <f>+Janvier!AS15</f>
        <v>883.46153846153868</v>
      </c>
      <c r="AR15" s="16">
        <f t="shared" ref="AR15:AR20" si="20">ROUND(E15/(AH15/5),0)</f>
        <v>1</v>
      </c>
      <c r="AS15" s="16">
        <f t="shared" ref="AS15:AS20" si="21">ROUND(H15/(AI15/5),0)</f>
        <v>1</v>
      </c>
      <c r="AT15" s="16">
        <f t="shared" ref="AT15:AT20" si="22">ROUND(K15/(AJ15/5),0)</f>
        <v>1</v>
      </c>
      <c r="AU15" s="16">
        <f t="shared" ref="AU15:AU20" si="23">ROUND(N15/(AK15/5),0)</f>
        <v>1</v>
      </c>
      <c r="AV15" s="16">
        <f t="shared" ref="AV15:AV20" si="24">ROUND(Q15/(AL15/5),0)</f>
        <v>1</v>
      </c>
      <c r="AW15" s="16">
        <f t="shared" ref="AW15:AW20" si="25">ROUND(T15/(AM15/5),0)</f>
        <v>1</v>
      </c>
      <c r="AX15" s="16">
        <f t="shared" ref="AX15:AX20" si="26">ROUND(W15/(AN15/5),0)</f>
        <v>2</v>
      </c>
      <c r="AY15" s="16">
        <f t="shared" ref="AY15:AY20" si="27">ROUND(Z15/(AO15/5),0)</f>
        <v>1</v>
      </c>
      <c r="AZ15" s="16">
        <f t="shared" ref="AZ15:AZ20" si="28">ROUND(AC15/(AP15/5),0)</f>
        <v>1</v>
      </c>
      <c r="BA15" s="17">
        <f t="shared" ref="BA15:BA20" si="29">ROUND(AF15/(AQ15/5),0)</f>
        <v>1</v>
      </c>
    </row>
    <row r="16" spans="1:53" x14ac:dyDescent="0.3">
      <c r="A16" s="184" t="s">
        <v>58</v>
      </c>
      <c r="B16" s="127">
        <v>44044</v>
      </c>
      <c r="C16" s="243">
        <v>44078</v>
      </c>
      <c r="D16" s="130">
        <v>2360</v>
      </c>
      <c r="E16" s="129">
        <v>1500</v>
      </c>
      <c r="F16" s="169">
        <v>0</v>
      </c>
      <c r="G16" s="246">
        <v>6440</v>
      </c>
      <c r="H16" s="171">
        <v>4500</v>
      </c>
      <c r="I16" s="172">
        <v>0</v>
      </c>
      <c r="J16" s="130">
        <v>5720</v>
      </c>
      <c r="K16" s="129">
        <v>3650</v>
      </c>
      <c r="L16" s="131">
        <v>0</v>
      </c>
      <c r="M16" s="130">
        <v>5278</v>
      </c>
      <c r="N16" s="129">
        <v>3450</v>
      </c>
      <c r="O16" s="128">
        <v>0</v>
      </c>
      <c r="P16" s="130">
        <v>2998</v>
      </c>
      <c r="Q16" s="129">
        <v>2100</v>
      </c>
      <c r="R16" s="128">
        <v>0</v>
      </c>
      <c r="S16" s="130">
        <v>1810</v>
      </c>
      <c r="T16" s="129">
        <v>1350</v>
      </c>
      <c r="U16" s="128">
        <v>0</v>
      </c>
      <c r="V16" s="130">
        <v>3410</v>
      </c>
      <c r="W16" s="129">
        <v>2550</v>
      </c>
      <c r="X16" s="128">
        <v>0</v>
      </c>
      <c r="Y16" s="130">
        <v>2070</v>
      </c>
      <c r="Z16" s="129">
        <v>1350</v>
      </c>
      <c r="AA16" s="128">
        <v>0</v>
      </c>
      <c r="AB16" s="130">
        <v>1890</v>
      </c>
      <c r="AC16" s="129">
        <v>1350</v>
      </c>
      <c r="AD16" s="128">
        <v>0</v>
      </c>
      <c r="AE16" s="130">
        <v>3890</v>
      </c>
      <c r="AF16" s="129">
        <v>2850</v>
      </c>
      <c r="AG16" s="224">
        <v>0</v>
      </c>
      <c r="AH16" s="231">
        <f>+Janvier!AJ16</f>
        <v>952.54120879120887</v>
      </c>
      <c r="AI16" s="231">
        <f>+Janvier!AK16</f>
        <v>2963.4615384615386</v>
      </c>
      <c r="AJ16" s="231">
        <f>+Janvier!AL16</f>
        <v>2222.5961538461538</v>
      </c>
      <c r="AK16" s="231">
        <f>+Janvier!AM16</f>
        <v>2222.5961538461538</v>
      </c>
      <c r="AL16" s="231">
        <f>+Janvier!AN16</f>
        <v>1347.0279720279721</v>
      </c>
      <c r="AM16" s="231">
        <f>+Janvier!AO16</f>
        <v>833.47355769230774</v>
      </c>
      <c r="AN16" s="231">
        <f>+Janvier!AP16</f>
        <v>1666.9471153846155</v>
      </c>
      <c r="AO16" s="231">
        <f>+Janvier!AQ16</f>
        <v>833.47355769230774</v>
      </c>
      <c r="AP16" s="231">
        <f>+Janvier!AR16</f>
        <v>833.47355769230774</v>
      </c>
      <c r="AQ16" s="231">
        <f>+Janvier!AS16</f>
        <v>1481.7307692307693</v>
      </c>
      <c r="AR16" s="16">
        <f t="shared" si="20"/>
        <v>8</v>
      </c>
      <c r="AS16" s="16">
        <f t="shared" si="21"/>
        <v>8</v>
      </c>
      <c r="AT16" s="16">
        <f t="shared" si="22"/>
        <v>8</v>
      </c>
      <c r="AU16" s="16">
        <f t="shared" si="23"/>
        <v>8</v>
      </c>
      <c r="AV16" s="16">
        <f t="shared" si="24"/>
        <v>8</v>
      </c>
      <c r="AW16" s="16">
        <f t="shared" si="25"/>
        <v>8</v>
      </c>
      <c r="AX16" s="16">
        <f t="shared" si="26"/>
        <v>8</v>
      </c>
      <c r="AY16" s="16">
        <f t="shared" si="27"/>
        <v>8</v>
      </c>
      <c r="AZ16" s="16">
        <f t="shared" si="28"/>
        <v>8</v>
      </c>
      <c r="BA16" s="17">
        <f t="shared" si="29"/>
        <v>10</v>
      </c>
    </row>
    <row r="17" spans="1:53" x14ac:dyDescent="0.3">
      <c r="A17" s="184" t="s">
        <v>59</v>
      </c>
      <c r="B17" s="127">
        <v>44044</v>
      </c>
      <c r="C17" s="243">
        <v>44078</v>
      </c>
      <c r="D17" s="130">
        <v>1800</v>
      </c>
      <c r="E17" s="129">
        <v>800</v>
      </c>
      <c r="F17" s="169">
        <v>0</v>
      </c>
      <c r="G17" s="246">
        <v>1660</v>
      </c>
      <c r="H17" s="171">
        <v>700</v>
      </c>
      <c r="I17" s="172">
        <v>0</v>
      </c>
      <c r="J17" s="130">
        <v>2500</v>
      </c>
      <c r="K17" s="129">
        <v>1170</v>
      </c>
      <c r="L17" s="128">
        <v>0</v>
      </c>
      <c r="M17" s="130">
        <v>1840</v>
      </c>
      <c r="N17" s="129">
        <v>560</v>
      </c>
      <c r="O17" s="128">
        <v>0</v>
      </c>
      <c r="P17" s="130">
        <v>1505</v>
      </c>
      <c r="Q17" s="129">
        <v>679</v>
      </c>
      <c r="R17" s="128">
        <v>0</v>
      </c>
      <c r="S17" s="130">
        <v>900</v>
      </c>
      <c r="T17" s="129">
        <v>540</v>
      </c>
      <c r="U17" s="128">
        <v>0</v>
      </c>
      <c r="V17" s="130">
        <v>800</v>
      </c>
      <c r="W17" s="129">
        <v>330</v>
      </c>
      <c r="X17" s="128">
        <v>0</v>
      </c>
      <c r="Y17" s="130">
        <v>500</v>
      </c>
      <c r="Z17" s="129">
        <v>130</v>
      </c>
      <c r="AA17" s="128">
        <v>0</v>
      </c>
      <c r="AB17" s="130">
        <v>1000</v>
      </c>
      <c r="AC17" s="129">
        <v>560</v>
      </c>
      <c r="AD17" s="128">
        <v>0</v>
      </c>
      <c r="AE17" s="130">
        <v>1500</v>
      </c>
      <c r="AF17" s="129">
        <v>990</v>
      </c>
      <c r="AG17" s="224">
        <v>0</v>
      </c>
      <c r="AH17" s="231">
        <f>+Janvier!AJ17</f>
        <v>506.86813186813191</v>
      </c>
      <c r="AI17" s="231">
        <f>+Janvier!AK17</f>
        <v>1576.9230769230767</v>
      </c>
      <c r="AJ17" s="231">
        <f>+Janvier!AL17</f>
        <v>1182.6923076923076</v>
      </c>
      <c r="AK17" s="231">
        <f>+Janvier!AM17</f>
        <v>1182.6923076923076</v>
      </c>
      <c r="AL17" s="231">
        <f>+Janvier!AN17</f>
        <v>716.78321678321686</v>
      </c>
      <c r="AM17" s="231">
        <f>+Janvier!AO17</f>
        <v>443.50961538461542</v>
      </c>
      <c r="AN17" s="231">
        <f>+Janvier!AP17</f>
        <v>887.01923076923083</v>
      </c>
      <c r="AO17" s="231">
        <f>+Janvier!AQ17</f>
        <v>443.50961538461542</v>
      </c>
      <c r="AP17" s="231">
        <f>+Janvier!AR17</f>
        <v>443.50961538461542</v>
      </c>
      <c r="AQ17" s="231">
        <f>+Janvier!AS17</f>
        <v>788.46153846153834</v>
      </c>
      <c r="AR17" s="16">
        <f t="shared" si="20"/>
        <v>8</v>
      </c>
      <c r="AS17" s="16">
        <f t="shared" si="21"/>
        <v>2</v>
      </c>
      <c r="AT17" s="16">
        <f t="shared" si="22"/>
        <v>5</v>
      </c>
      <c r="AU17" s="16">
        <f t="shared" si="23"/>
        <v>2</v>
      </c>
      <c r="AV17" s="16">
        <f t="shared" si="24"/>
        <v>5</v>
      </c>
      <c r="AW17" s="16">
        <f t="shared" si="25"/>
        <v>6</v>
      </c>
      <c r="AX17" s="16">
        <f t="shared" si="26"/>
        <v>2</v>
      </c>
      <c r="AY17" s="16">
        <f t="shared" si="27"/>
        <v>1</v>
      </c>
      <c r="AZ17" s="16">
        <f t="shared" si="28"/>
        <v>6</v>
      </c>
      <c r="BA17" s="17">
        <f t="shared" si="29"/>
        <v>6</v>
      </c>
    </row>
    <row r="18" spans="1:53" x14ac:dyDescent="0.3">
      <c r="A18" s="184" t="s">
        <v>60</v>
      </c>
      <c r="B18" s="127">
        <v>44044</v>
      </c>
      <c r="C18" s="243">
        <v>44078</v>
      </c>
      <c r="D18" s="130">
        <v>880</v>
      </c>
      <c r="E18" s="129">
        <v>880</v>
      </c>
      <c r="F18" s="169">
        <v>0</v>
      </c>
      <c r="G18" s="246">
        <v>2320</v>
      </c>
      <c r="H18" s="171">
        <v>2320</v>
      </c>
      <c r="I18" s="172">
        <v>0</v>
      </c>
      <c r="J18" s="130">
        <v>1670</v>
      </c>
      <c r="K18" s="129">
        <v>2220</v>
      </c>
      <c r="L18" s="131">
        <v>0</v>
      </c>
      <c r="M18" s="130">
        <v>2244</v>
      </c>
      <c r="N18" s="129">
        <v>2324</v>
      </c>
      <c r="O18" s="131">
        <v>0</v>
      </c>
      <c r="P18" s="130">
        <v>1477</v>
      </c>
      <c r="Q18" s="129">
        <v>1477</v>
      </c>
      <c r="R18" s="128">
        <v>0</v>
      </c>
      <c r="S18" s="130">
        <v>690</v>
      </c>
      <c r="T18" s="129">
        <v>720</v>
      </c>
      <c r="U18" s="128">
        <v>0</v>
      </c>
      <c r="V18" s="130">
        <v>1320</v>
      </c>
      <c r="W18" s="129">
        <v>1750</v>
      </c>
      <c r="X18" s="128">
        <v>0</v>
      </c>
      <c r="Y18" s="130">
        <v>930</v>
      </c>
      <c r="Z18" s="129">
        <v>930</v>
      </c>
      <c r="AA18" s="128">
        <v>0</v>
      </c>
      <c r="AB18" s="130">
        <v>580</v>
      </c>
      <c r="AC18" s="129">
        <v>930</v>
      </c>
      <c r="AD18" s="128">
        <v>0</v>
      </c>
      <c r="AE18" s="130">
        <v>1160</v>
      </c>
      <c r="AF18" s="129">
        <v>1520</v>
      </c>
      <c r="AG18" s="224">
        <v>0</v>
      </c>
      <c r="AH18" s="231">
        <f>+Janvier!AJ18</f>
        <v>785.76923076923083</v>
      </c>
      <c r="AI18" s="231">
        <f>+Janvier!AK18</f>
        <v>2444.6153846153852</v>
      </c>
      <c r="AJ18" s="231">
        <f>+Janvier!AL18</f>
        <v>1833.4615384615383</v>
      </c>
      <c r="AK18" s="231">
        <f>+Janvier!AM18</f>
        <v>1833.4615384615383</v>
      </c>
      <c r="AL18" s="231">
        <f>+Janvier!AN18</f>
        <v>1111.1888111888113</v>
      </c>
      <c r="AM18" s="231">
        <f>+Janvier!AO18</f>
        <v>687.54807692307713</v>
      </c>
      <c r="AN18" s="231">
        <f>+Janvier!AP18</f>
        <v>1375.0961538461543</v>
      </c>
      <c r="AO18" s="231">
        <f>+Janvier!AQ18</f>
        <v>687.54807692307713</v>
      </c>
      <c r="AP18" s="231">
        <f>+Janvier!AR18</f>
        <v>687.54807692307713</v>
      </c>
      <c r="AQ18" s="231">
        <f>+Janvier!AS18</f>
        <v>1222.3076923076926</v>
      </c>
      <c r="AR18" s="16">
        <f t="shared" si="20"/>
        <v>6</v>
      </c>
      <c r="AS18" s="16">
        <f t="shared" si="21"/>
        <v>5</v>
      </c>
      <c r="AT18" s="16">
        <f t="shared" si="22"/>
        <v>6</v>
      </c>
      <c r="AU18" s="16">
        <f t="shared" si="23"/>
        <v>6</v>
      </c>
      <c r="AV18" s="16">
        <f t="shared" si="24"/>
        <v>7</v>
      </c>
      <c r="AW18" s="16">
        <f t="shared" si="25"/>
        <v>5</v>
      </c>
      <c r="AX18" s="16">
        <f t="shared" si="26"/>
        <v>6</v>
      </c>
      <c r="AY18" s="16">
        <f t="shared" si="27"/>
        <v>7</v>
      </c>
      <c r="AZ18" s="16">
        <f t="shared" si="28"/>
        <v>7</v>
      </c>
      <c r="BA18" s="17">
        <f t="shared" si="29"/>
        <v>6</v>
      </c>
    </row>
    <row r="19" spans="1:53" x14ac:dyDescent="0.3">
      <c r="A19" s="184" t="s">
        <v>61</v>
      </c>
      <c r="B19" s="127">
        <v>44044</v>
      </c>
      <c r="C19" s="243">
        <v>44078</v>
      </c>
      <c r="D19" s="130">
        <v>200</v>
      </c>
      <c r="E19" s="129">
        <v>240</v>
      </c>
      <c r="F19" s="169">
        <v>0</v>
      </c>
      <c r="G19" s="247">
        <v>60</v>
      </c>
      <c r="H19" s="175">
        <v>200</v>
      </c>
      <c r="I19" s="176">
        <v>0</v>
      </c>
      <c r="J19" s="134">
        <v>30</v>
      </c>
      <c r="K19" s="133">
        <v>210</v>
      </c>
      <c r="L19" s="132">
        <v>0</v>
      </c>
      <c r="M19" s="134">
        <v>500</v>
      </c>
      <c r="N19" s="133">
        <v>600</v>
      </c>
      <c r="O19" s="132">
        <v>0</v>
      </c>
      <c r="P19" s="134">
        <v>230</v>
      </c>
      <c r="Q19" s="133">
        <v>760</v>
      </c>
      <c r="R19" s="132">
        <v>0</v>
      </c>
      <c r="S19" s="134">
        <v>80</v>
      </c>
      <c r="T19" s="133">
        <v>190</v>
      </c>
      <c r="U19" s="132">
        <v>0</v>
      </c>
      <c r="V19" s="134">
        <v>290</v>
      </c>
      <c r="W19" s="133">
        <v>410</v>
      </c>
      <c r="X19" s="132">
        <v>0</v>
      </c>
      <c r="Y19" s="134">
        <v>590</v>
      </c>
      <c r="Z19" s="133">
        <v>720</v>
      </c>
      <c r="AA19" s="132">
        <v>0</v>
      </c>
      <c r="AB19" s="134">
        <v>610</v>
      </c>
      <c r="AC19" s="133">
        <v>710</v>
      </c>
      <c r="AD19" s="132">
        <v>0</v>
      </c>
      <c r="AE19" s="134">
        <v>350</v>
      </c>
      <c r="AF19" s="133">
        <v>480</v>
      </c>
      <c r="AG19" s="225">
        <v>0</v>
      </c>
      <c r="AH19" s="231">
        <f>+Janvier!AJ19</f>
        <v>309.43681318681325</v>
      </c>
      <c r="AI19" s="231">
        <f>+Janvier!AK19</f>
        <v>962.69230769230785</v>
      </c>
      <c r="AJ19" s="231">
        <f>+Janvier!AL19</f>
        <v>722.01923076923083</v>
      </c>
      <c r="AK19" s="231">
        <f>+Janvier!AM19</f>
        <v>722.01923076923083</v>
      </c>
      <c r="AL19" s="231">
        <f>+Janvier!AN19</f>
        <v>437.5874125874127</v>
      </c>
      <c r="AM19" s="231">
        <f>+Janvier!AO19</f>
        <v>270.75721153846155</v>
      </c>
      <c r="AN19" s="231">
        <f>+Janvier!AP19</f>
        <v>541.51442307692309</v>
      </c>
      <c r="AO19" s="231">
        <f>+Janvier!AQ19</f>
        <v>270.75721153846155</v>
      </c>
      <c r="AP19" s="231">
        <f>+Janvier!AR19</f>
        <v>270.75721153846155</v>
      </c>
      <c r="AQ19" s="231">
        <f>+Janvier!AS19</f>
        <v>481.34615384615392</v>
      </c>
      <c r="AR19" s="16">
        <f t="shared" si="20"/>
        <v>4</v>
      </c>
      <c r="AS19" s="16">
        <f t="shared" si="21"/>
        <v>1</v>
      </c>
      <c r="AT19" s="16">
        <f t="shared" si="22"/>
        <v>1</v>
      </c>
      <c r="AU19" s="16">
        <f t="shared" si="23"/>
        <v>4</v>
      </c>
      <c r="AV19" s="16">
        <f t="shared" si="24"/>
        <v>9</v>
      </c>
      <c r="AW19" s="16">
        <f t="shared" si="25"/>
        <v>4</v>
      </c>
      <c r="AX19" s="16">
        <f t="shared" si="26"/>
        <v>4</v>
      </c>
      <c r="AY19" s="16">
        <f t="shared" si="27"/>
        <v>13</v>
      </c>
      <c r="AZ19" s="16">
        <f t="shared" si="28"/>
        <v>13</v>
      </c>
      <c r="BA19" s="17">
        <f t="shared" si="29"/>
        <v>5</v>
      </c>
    </row>
    <row r="20" spans="1:53" ht="15" thickBot="1" x14ac:dyDescent="0.35">
      <c r="A20" s="121" t="s">
        <v>62</v>
      </c>
      <c r="B20" s="156">
        <v>44044</v>
      </c>
      <c r="C20" s="244">
        <v>44078</v>
      </c>
      <c r="D20" s="159">
        <v>400</v>
      </c>
      <c r="E20" s="158">
        <v>140</v>
      </c>
      <c r="F20" s="177">
        <v>0</v>
      </c>
      <c r="G20" s="248">
        <v>800</v>
      </c>
      <c r="H20" s="179">
        <v>300</v>
      </c>
      <c r="I20" s="180">
        <v>0</v>
      </c>
      <c r="J20" s="159">
        <v>560</v>
      </c>
      <c r="K20" s="158">
        <v>120</v>
      </c>
      <c r="L20" s="157">
        <v>0</v>
      </c>
      <c r="M20" s="159">
        <v>562</v>
      </c>
      <c r="N20" s="158">
        <v>80</v>
      </c>
      <c r="O20" s="157">
        <v>0</v>
      </c>
      <c r="P20" s="159">
        <v>330</v>
      </c>
      <c r="Q20" s="158">
        <v>150</v>
      </c>
      <c r="R20" s="157">
        <v>0</v>
      </c>
      <c r="S20" s="159">
        <v>160</v>
      </c>
      <c r="T20" s="158">
        <v>70</v>
      </c>
      <c r="U20" s="157">
        <v>0</v>
      </c>
      <c r="V20" s="159">
        <v>710</v>
      </c>
      <c r="W20" s="158">
        <v>500</v>
      </c>
      <c r="X20" s="157">
        <v>0</v>
      </c>
      <c r="Y20" s="159">
        <v>240</v>
      </c>
      <c r="Z20" s="158">
        <v>160</v>
      </c>
      <c r="AA20" s="157">
        <v>0</v>
      </c>
      <c r="AB20" s="159">
        <v>360</v>
      </c>
      <c r="AC20" s="158">
        <v>120</v>
      </c>
      <c r="AD20" s="157">
        <v>0</v>
      </c>
      <c r="AE20" s="159">
        <v>570</v>
      </c>
      <c r="AF20" s="158">
        <v>280</v>
      </c>
      <c r="AG20" s="226">
        <v>0</v>
      </c>
      <c r="AH20" s="231">
        <f>+Janvier!AJ20</f>
        <v>485.2335164835165</v>
      </c>
      <c r="AI20" s="231">
        <f>+Janvier!AK20</f>
        <v>1509.6153846153845</v>
      </c>
      <c r="AJ20" s="231">
        <f>+Janvier!AL20</f>
        <v>1132.2115384615383</v>
      </c>
      <c r="AK20" s="231">
        <f>+Janvier!AM20</f>
        <v>1132.2115384615383</v>
      </c>
      <c r="AL20" s="231">
        <f>+Janvier!AN20</f>
        <v>686.1888111888112</v>
      </c>
      <c r="AM20" s="231">
        <f>+Janvier!AO20</f>
        <v>424.57932692307691</v>
      </c>
      <c r="AN20" s="231">
        <f>+Janvier!AP20</f>
        <v>849.15865384615381</v>
      </c>
      <c r="AO20" s="231">
        <f>+Janvier!AQ20</f>
        <v>424.57932692307691</v>
      </c>
      <c r="AP20" s="231">
        <f>+Janvier!AR20</f>
        <v>424.57932692307691</v>
      </c>
      <c r="AQ20" s="231">
        <f>+Janvier!AS20</f>
        <v>754.80769230769226</v>
      </c>
      <c r="AR20" s="32">
        <f t="shared" si="20"/>
        <v>1</v>
      </c>
      <c r="AS20" s="32">
        <f t="shared" si="21"/>
        <v>1</v>
      </c>
      <c r="AT20" s="32">
        <f t="shared" si="22"/>
        <v>1</v>
      </c>
      <c r="AU20" s="32">
        <f t="shared" si="23"/>
        <v>0</v>
      </c>
      <c r="AV20" s="32">
        <f t="shared" si="24"/>
        <v>1</v>
      </c>
      <c r="AW20" s="32">
        <f t="shared" si="25"/>
        <v>1</v>
      </c>
      <c r="AX20" s="32">
        <f t="shared" si="26"/>
        <v>3</v>
      </c>
      <c r="AY20" s="32">
        <f t="shared" si="27"/>
        <v>2</v>
      </c>
      <c r="AZ20" s="32">
        <f t="shared" si="28"/>
        <v>1</v>
      </c>
      <c r="BA20" s="33">
        <f t="shared" si="29"/>
        <v>2</v>
      </c>
    </row>
    <row r="21" spans="1:53" x14ac:dyDescent="0.3">
      <c r="A21" s="140" t="s">
        <v>91</v>
      </c>
      <c r="B21" s="160">
        <v>44044</v>
      </c>
      <c r="C21" s="160">
        <v>44077</v>
      </c>
      <c r="D21" s="252">
        <v>38000</v>
      </c>
      <c r="E21" s="149">
        <v>32680</v>
      </c>
      <c r="F21" s="150">
        <v>0</v>
      </c>
      <c r="G21" s="125">
        <v>99500</v>
      </c>
      <c r="H21" s="123">
        <v>117480</v>
      </c>
      <c r="I21" s="126">
        <v>0</v>
      </c>
      <c r="J21" s="125">
        <v>86000</v>
      </c>
      <c r="K21" s="123">
        <v>86580</v>
      </c>
      <c r="L21" s="124">
        <v>0</v>
      </c>
      <c r="M21" s="125">
        <v>85000</v>
      </c>
      <c r="N21" s="123">
        <v>86000</v>
      </c>
      <c r="O21" s="124">
        <v>0</v>
      </c>
      <c r="P21" s="125">
        <v>54200</v>
      </c>
      <c r="Q21" s="123">
        <v>54200</v>
      </c>
      <c r="R21" s="124">
        <v>0</v>
      </c>
      <c r="S21" s="125">
        <v>24450</v>
      </c>
      <c r="T21" s="123">
        <v>24040</v>
      </c>
      <c r="U21" s="124">
        <v>0</v>
      </c>
      <c r="V21" s="125">
        <v>32500</v>
      </c>
      <c r="W21" s="123">
        <v>60080</v>
      </c>
      <c r="X21" s="124">
        <v>0</v>
      </c>
      <c r="Y21" s="125">
        <v>31000</v>
      </c>
      <c r="Z21" s="114">
        <v>34290</v>
      </c>
      <c r="AA21" s="115">
        <v>0</v>
      </c>
      <c r="AB21" s="113">
        <v>28800</v>
      </c>
      <c r="AC21" s="123">
        <v>36290</v>
      </c>
      <c r="AD21" s="124">
        <v>0</v>
      </c>
      <c r="AE21" s="125">
        <v>31000</v>
      </c>
      <c r="AF21" s="123">
        <v>59130</v>
      </c>
      <c r="AG21" s="126">
        <v>0</v>
      </c>
      <c r="AH21" s="231">
        <f>+Janvier!AJ21</f>
        <v>46732.578750000001</v>
      </c>
      <c r="AI21" s="231">
        <f>+Janvier!AK21</f>
        <v>160746.05769230769</v>
      </c>
      <c r="AJ21" s="231">
        <f>+Janvier!AL21</f>
        <v>107056.87442307695</v>
      </c>
      <c r="AK21" s="231">
        <f>+Janvier!AM21</f>
        <v>107056.87442307695</v>
      </c>
      <c r="AL21" s="231">
        <f>+Janvier!AN21</f>
        <v>67513.344230769231</v>
      </c>
      <c r="AM21" s="231">
        <f>+Janvier!AO21</f>
        <v>40186.514423076922</v>
      </c>
      <c r="AN21" s="231">
        <f>+Janvier!AP21</f>
        <v>80373.028846153844</v>
      </c>
      <c r="AO21" s="231">
        <f>+Janvier!AQ21</f>
        <v>40186.514423076922</v>
      </c>
      <c r="AP21" s="231">
        <f>+Janvier!AR21</f>
        <v>40186.514423076922</v>
      </c>
      <c r="AQ21" s="231">
        <f>+Janvier!AS21</f>
        <v>72549.877500000002</v>
      </c>
      <c r="AR21" s="90">
        <f>ROUND(E21/(AH21/15),0)</f>
        <v>10</v>
      </c>
      <c r="AS21" s="90">
        <f t="shared" ref="AS21" si="30">ROUND(H21/(AI21/15),0)</f>
        <v>11</v>
      </c>
      <c r="AT21" s="90">
        <f t="shared" ref="AT21" si="31">ROUND(K21/(AJ21/15),0)</f>
        <v>12</v>
      </c>
      <c r="AU21" s="90">
        <f t="shared" ref="AU21" si="32">ROUND(N21/(AK21/15),0)</f>
        <v>12</v>
      </c>
      <c r="AV21" s="90">
        <f t="shared" ref="AV21" si="33">ROUND(Q21/(AL21/15),0)</f>
        <v>12</v>
      </c>
      <c r="AW21" s="90">
        <f t="shared" ref="AW21" si="34">ROUND(T21/(AM21/15),0)</f>
        <v>9</v>
      </c>
      <c r="AX21" s="90">
        <f t="shared" ref="AX21" si="35">ROUND(W21/(AN21/15),0)</f>
        <v>11</v>
      </c>
      <c r="AY21" s="90">
        <f t="shared" ref="AY21" si="36">ROUND(Z21/(AO21/15),0)</f>
        <v>13</v>
      </c>
      <c r="AZ21" s="90">
        <f t="shared" ref="AZ21" si="37">ROUND(AC21/(AP21/15),0)</f>
        <v>14</v>
      </c>
      <c r="BA21" s="91">
        <f t="shared" ref="BA21" si="38">ROUND(AF21/(AQ21/15),0)</f>
        <v>12</v>
      </c>
    </row>
    <row r="22" spans="1:53" x14ac:dyDescent="0.3">
      <c r="A22" s="184" t="s">
        <v>14</v>
      </c>
      <c r="B22" s="94">
        <v>44044</v>
      </c>
      <c r="C22" s="94">
        <v>44074</v>
      </c>
      <c r="D22" s="104">
        <v>1600</v>
      </c>
      <c r="E22" s="96">
        <v>1900</v>
      </c>
      <c r="F22" s="97">
        <v>0</v>
      </c>
      <c r="G22" s="95">
        <v>4900</v>
      </c>
      <c r="H22" s="96">
        <v>5860</v>
      </c>
      <c r="I22" s="105">
        <v>0</v>
      </c>
      <c r="J22" s="95">
        <v>4160</v>
      </c>
      <c r="K22" s="96">
        <v>4390</v>
      </c>
      <c r="L22" s="97">
        <v>0</v>
      </c>
      <c r="M22" s="95">
        <v>3740</v>
      </c>
      <c r="N22" s="96">
        <v>4400</v>
      </c>
      <c r="O22" s="97">
        <v>0</v>
      </c>
      <c r="P22" s="95">
        <v>2660</v>
      </c>
      <c r="Q22" s="96">
        <v>3071</v>
      </c>
      <c r="R22" s="97">
        <v>0</v>
      </c>
      <c r="S22" s="95">
        <v>1060</v>
      </c>
      <c r="T22" s="96">
        <v>1695</v>
      </c>
      <c r="U22" s="97">
        <v>0</v>
      </c>
      <c r="V22" s="95">
        <v>2160</v>
      </c>
      <c r="W22" s="96">
        <v>3300</v>
      </c>
      <c r="X22" s="97">
        <v>0</v>
      </c>
      <c r="Y22" s="95">
        <v>1440</v>
      </c>
      <c r="Z22" s="96">
        <v>1660</v>
      </c>
      <c r="AA22" s="100">
        <v>0</v>
      </c>
      <c r="AB22" s="95">
        <v>1440</v>
      </c>
      <c r="AC22" s="96">
        <v>1620</v>
      </c>
      <c r="AD22" s="97">
        <v>0</v>
      </c>
      <c r="AE22" s="95">
        <v>2280</v>
      </c>
      <c r="AF22" s="96">
        <v>3660</v>
      </c>
      <c r="AG22" s="105">
        <v>0</v>
      </c>
      <c r="AH22" s="231">
        <f>+Janvier!AJ22</f>
        <v>1770.3296703296703</v>
      </c>
      <c r="AI22" s="231">
        <f>+Janvier!AK22</f>
        <v>5507.6923076923067</v>
      </c>
      <c r="AJ22" s="231">
        <f>+Janvier!AL22</f>
        <v>4130.7692307692305</v>
      </c>
      <c r="AK22" s="231">
        <f>+Janvier!AM22</f>
        <v>4130.7692307692305</v>
      </c>
      <c r="AL22" s="231">
        <f>+Janvier!AN22</f>
        <v>2503.4965034965039</v>
      </c>
      <c r="AM22" s="231">
        <f>+Janvier!AO22</f>
        <v>1549.0384615384617</v>
      </c>
      <c r="AN22" s="231">
        <f>+Janvier!AP22</f>
        <v>3098.0769230769233</v>
      </c>
      <c r="AO22" s="231">
        <f>+Janvier!AQ22</f>
        <v>1549.0384615384617</v>
      </c>
      <c r="AP22" s="231">
        <f>+Janvier!AR22</f>
        <v>1549.0384615384617</v>
      </c>
      <c r="AQ22" s="231">
        <f>+Janvier!AS22</f>
        <v>2753.8461538461534</v>
      </c>
      <c r="AR22" s="90">
        <f t="shared" ref="AR22:AR29" si="39">ROUND(E22/(AH22/5),0)</f>
        <v>5</v>
      </c>
      <c r="AS22" s="90">
        <f t="shared" ref="AS22:AS29" si="40">ROUND(H22/(AI22/5),0)</f>
        <v>5</v>
      </c>
      <c r="AT22" s="90">
        <f t="shared" ref="AT22:AT29" si="41">ROUND(K22/(AJ22/5),0)</f>
        <v>5</v>
      </c>
      <c r="AU22" s="90">
        <f t="shared" ref="AU22:AU29" si="42">ROUND(N22/(AK22/5),0)</f>
        <v>5</v>
      </c>
      <c r="AV22" s="90">
        <f t="shared" ref="AV22:AV29" si="43">ROUND(Q22/(AL22/5),0)</f>
        <v>6</v>
      </c>
      <c r="AW22" s="90">
        <f t="shared" ref="AW22:AW29" si="44">ROUND(T22/(AM22/5),0)</f>
        <v>5</v>
      </c>
      <c r="AX22" s="90">
        <f t="shared" ref="AX22" si="45">ROUND(W22/(AN22/5),0)</f>
        <v>5</v>
      </c>
      <c r="AY22" s="90">
        <f t="shared" ref="AY22:AY29" si="46">ROUND(Z22/(AO22/5),0)</f>
        <v>5</v>
      </c>
      <c r="AZ22" s="90">
        <f t="shared" ref="AZ22:AZ29" si="47">ROUND(AC22/(AP22/5),0)</f>
        <v>5</v>
      </c>
      <c r="BA22" s="91">
        <f t="shared" ref="BA22:BA29" si="48">ROUND(AF22/(AQ22/5),0)</f>
        <v>7</v>
      </c>
    </row>
    <row r="23" spans="1:53" x14ac:dyDescent="0.3">
      <c r="A23" s="184" t="s">
        <v>15</v>
      </c>
      <c r="B23" s="94">
        <v>44044</v>
      </c>
      <c r="C23" s="94">
        <v>44074</v>
      </c>
      <c r="D23" s="104">
        <v>800</v>
      </c>
      <c r="E23" s="96">
        <v>1320</v>
      </c>
      <c r="F23" s="97">
        <v>0</v>
      </c>
      <c r="G23" s="95">
        <v>2540</v>
      </c>
      <c r="H23" s="96">
        <v>3420</v>
      </c>
      <c r="I23" s="105">
        <v>0</v>
      </c>
      <c r="J23" s="95">
        <v>1910</v>
      </c>
      <c r="K23" s="96">
        <v>2450</v>
      </c>
      <c r="L23" s="97">
        <v>0</v>
      </c>
      <c r="M23" s="95">
        <v>2000</v>
      </c>
      <c r="N23" s="96">
        <v>2700</v>
      </c>
      <c r="O23" s="97">
        <v>0</v>
      </c>
      <c r="P23" s="95">
        <v>1150</v>
      </c>
      <c r="Q23" s="96">
        <v>1531</v>
      </c>
      <c r="R23" s="97">
        <v>0</v>
      </c>
      <c r="S23" s="95">
        <v>750</v>
      </c>
      <c r="T23" s="96">
        <v>960</v>
      </c>
      <c r="U23" s="97">
        <v>0</v>
      </c>
      <c r="V23" s="95">
        <v>1440</v>
      </c>
      <c r="W23" s="96">
        <v>1910</v>
      </c>
      <c r="X23" s="97">
        <v>0</v>
      </c>
      <c r="Y23" s="95">
        <v>720</v>
      </c>
      <c r="Z23" s="96">
        <v>810</v>
      </c>
      <c r="AA23" s="100">
        <v>0</v>
      </c>
      <c r="AB23" s="95">
        <v>720</v>
      </c>
      <c r="AC23" s="96">
        <v>860</v>
      </c>
      <c r="AD23" s="97">
        <v>0</v>
      </c>
      <c r="AE23" s="95">
        <v>1000</v>
      </c>
      <c r="AF23" s="96">
        <v>2030</v>
      </c>
      <c r="AG23" s="105">
        <v>0</v>
      </c>
      <c r="AH23" s="231">
        <f>+Janvier!AJ23</f>
        <v>768.21428571428578</v>
      </c>
      <c r="AI23" s="231">
        <f>+Janvier!AK23</f>
        <v>2390.0000000000005</v>
      </c>
      <c r="AJ23" s="231">
        <f>+Janvier!AL23</f>
        <v>1792.5000000000002</v>
      </c>
      <c r="AK23" s="231">
        <f>+Janvier!AM23</f>
        <v>1792.5000000000002</v>
      </c>
      <c r="AL23" s="231">
        <f>+Janvier!AN23</f>
        <v>1086.3636363636365</v>
      </c>
      <c r="AM23" s="231">
        <f>+Janvier!AO23</f>
        <v>672.1875</v>
      </c>
      <c r="AN23" s="231">
        <f>+Janvier!AP23</f>
        <v>1344.375</v>
      </c>
      <c r="AO23" s="231">
        <f>+Janvier!AQ23</f>
        <v>672.1875</v>
      </c>
      <c r="AP23" s="231">
        <f>+Janvier!AR23</f>
        <v>672.1875</v>
      </c>
      <c r="AQ23" s="231">
        <f>+Janvier!AS23</f>
        <v>1195.0000000000002</v>
      </c>
      <c r="AR23" s="90">
        <f t="shared" si="39"/>
        <v>9</v>
      </c>
      <c r="AS23" s="90">
        <f t="shared" si="40"/>
        <v>7</v>
      </c>
      <c r="AT23" s="90">
        <f t="shared" si="41"/>
        <v>7</v>
      </c>
      <c r="AU23" s="90">
        <f t="shared" si="42"/>
        <v>8</v>
      </c>
      <c r="AV23" s="90">
        <f t="shared" si="43"/>
        <v>7</v>
      </c>
      <c r="AW23" s="90">
        <f t="shared" si="44"/>
        <v>7</v>
      </c>
      <c r="AX23" s="90">
        <f>ROUND(W23/(AN23/5),0)</f>
        <v>7</v>
      </c>
      <c r="AY23" s="90">
        <f t="shared" si="46"/>
        <v>6</v>
      </c>
      <c r="AZ23" s="90">
        <f t="shared" si="47"/>
        <v>6</v>
      </c>
      <c r="BA23" s="91">
        <f t="shared" si="48"/>
        <v>8</v>
      </c>
    </row>
    <row r="24" spans="1:53" ht="14.25" customHeight="1" x14ac:dyDescent="0.3">
      <c r="A24" s="184" t="s">
        <v>16</v>
      </c>
      <c r="B24" s="94">
        <v>44044</v>
      </c>
      <c r="C24" s="94">
        <v>44074</v>
      </c>
      <c r="D24" s="104">
        <v>1280</v>
      </c>
      <c r="E24" s="96">
        <v>1500</v>
      </c>
      <c r="F24" s="97">
        <v>0</v>
      </c>
      <c r="G24" s="95">
        <v>4080</v>
      </c>
      <c r="H24" s="96">
        <v>8630</v>
      </c>
      <c r="I24" s="105">
        <v>0</v>
      </c>
      <c r="J24" s="95">
        <v>3550</v>
      </c>
      <c r="K24" s="96">
        <v>5930</v>
      </c>
      <c r="L24" s="97">
        <v>0</v>
      </c>
      <c r="M24" s="95">
        <v>2350</v>
      </c>
      <c r="N24" s="96">
        <v>3940</v>
      </c>
      <c r="O24" s="97">
        <v>0</v>
      </c>
      <c r="P24" s="95">
        <v>2235</v>
      </c>
      <c r="Q24" s="96">
        <v>2880</v>
      </c>
      <c r="R24" s="97">
        <v>0</v>
      </c>
      <c r="S24" s="95">
        <v>1050</v>
      </c>
      <c r="T24" s="96">
        <v>1540</v>
      </c>
      <c r="U24" s="97">
        <v>0</v>
      </c>
      <c r="V24" s="95">
        <v>2720</v>
      </c>
      <c r="W24" s="96">
        <v>4870</v>
      </c>
      <c r="X24" s="97">
        <v>0</v>
      </c>
      <c r="Y24" s="95">
        <v>1440</v>
      </c>
      <c r="Z24" s="96">
        <v>2390</v>
      </c>
      <c r="AA24" s="100">
        <v>0</v>
      </c>
      <c r="AB24" s="95">
        <v>800</v>
      </c>
      <c r="AC24" s="96">
        <v>1700</v>
      </c>
      <c r="AD24" s="97">
        <v>0</v>
      </c>
      <c r="AE24" s="95">
        <v>3500</v>
      </c>
      <c r="AF24" s="96">
        <v>5400</v>
      </c>
      <c r="AG24" s="105">
        <v>0</v>
      </c>
      <c r="AH24" s="231">
        <f>+Janvier!AJ24</f>
        <v>3452.1428571428573</v>
      </c>
      <c r="AI24" s="231">
        <f>+Janvier!AK24</f>
        <v>10740.000000000002</v>
      </c>
      <c r="AJ24" s="231">
        <f>+Janvier!AL24</f>
        <v>8055</v>
      </c>
      <c r="AK24" s="231">
        <f>+Janvier!AM24</f>
        <v>8055</v>
      </c>
      <c r="AL24" s="231">
        <f>+Janvier!AN24</f>
        <v>4881.818181818182</v>
      </c>
      <c r="AM24" s="231">
        <f>+Janvier!AO24</f>
        <v>3020.6250000000005</v>
      </c>
      <c r="AN24" s="231">
        <f>+Janvier!AP24</f>
        <v>6041.2500000000009</v>
      </c>
      <c r="AO24" s="231">
        <f>+Janvier!AQ24</f>
        <v>3020.6250000000005</v>
      </c>
      <c r="AP24" s="231">
        <f>+Janvier!AR24</f>
        <v>3020.6250000000005</v>
      </c>
      <c r="AQ24" s="231">
        <f>+Janvier!AS24</f>
        <v>5370.0000000000009</v>
      </c>
      <c r="AR24" s="90">
        <f t="shared" si="39"/>
        <v>2</v>
      </c>
      <c r="AS24" s="90">
        <f t="shared" si="40"/>
        <v>4</v>
      </c>
      <c r="AT24" s="90">
        <f t="shared" si="41"/>
        <v>4</v>
      </c>
      <c r="AU24" s="90">
        <f t="shared" si="42"/>
        <v>2</v>
      </c>
      <c r="AV24" s="90">
        <f t="shared" si="43"/>
        <v>3</v>
      </c>
      <c r="AW24" s="90">
        <f>ROUND(T24/(AM24/5),0)</f>
        <v>3</v>
      </c>
      <c r="AX24" s="90">
        <f t="shared" ref="AX24:AX29" si="49">ROUND(W24/(AN24/5),0)</f>
        <v>4</v>
      </c>
      <c r="AY24" s="90">
        <f t="shared" si="46"/>
        <v>4</v>
      </c>
      <c r="AZ24" s="90">
        <f t="shared" si="47"/>
        <v>3</v>
      </c>
      <c r="BA24" s="91">
        <f t="shared" si="48"/>
        <v>5</v>
      </c>
    </row>
    <row r="25" spans="1:53" ht="14.25" customHeight="1" x14ac:dyDescent="0.3">
      <c r="A25" s="184" t="s">
        <v>17</v>
      </c>
      <c r="B25" s="94">
        <v>44044</v>
      </c>
      <c r="C25" s="94">
        <v>44077</v>
      </c>
      <c r="D25" s="104">
        <v>1880</v>
      </c>
      <c r="E25" s="96">
        <v>3680</v>
      </c>
      <c r="F25" s="97">
        <v>0</v>
      </c>
      <c r="G25" s="95">
        <v>8400</v>
      </c>
      <c r="H25" s="96">
        <v>12260</v>
      </c>
      <c r="I25" s="105">
        <v>0</v>
      </c>
      <c r="J25" s="95">
        <v>7000</v>
      </c>
      <c r="K25" s="96">
        <v>8950</v>
      </c>
      <c r="L25" s="97">
        <v>0</v>
      </c>
      <c r="M25" s="95">
        <v>5400</v>
      </c>
      <c r="N25" s="96">
        <v>7496</v>
      </c>
      <c r="O25" s="97">
        <v>0</v>
      </c>
      <c r="P25" s="95">
        <v>3190</v>
      </c>
      <c r="Q25" s="96">
        <v>4574</v>
      </c>
      <c r="R25" s="97">
        <v>0</v>
      </c>
      <c r="S25" s="95">
        <v>2350</v>
      </c>
      <c r="T25" s="96">
        <v>3030</v>
      </c>
      <c r="U25" s="97">
        <v>0</v>
      </c>
      <c r="V25" s="95">
        <v>3000</v>
      </c>
      <c r="W25" s="96">
        <v>6430</v>
      </c>
      <c r="X25" s="97">
        <v>0</v>
      </c>
      <c r="Y25" s="95">
        <v>2280</v>
      </c>
      <c r="Z25" s="96">
        <v>3550</v>
      </c>
      <c r="AA25" s="100">
        <v>0</v>
      </c>
      <c r="AB25" s="95">
        <v>1440</v>
      </c>
      <c r="AC25" s="96">
        <v>2780</v>
      </c>
      <c r="AD25" s="97">
        <v>0</v>
      </c>
      <c r="AE25" s="95">
        <v>3750</v>
      </c>
      <c r="AF25" s="96">
        <v>7300</v>
      </c>
      <c r="AG25" s="105">
        <v>0</v>
      </c>
      <c r="AH25" s="231">
        <f>+Janvier!AJ25</f>
        <v>3638.3241758241757</v>
      </c>
      <c r="AI25" s="231">
        <f>+Janvier!AK25</f>
        <v>11319.23076923077</v>
      </c>
      <c r="AJ25" s="231">
        <f>+Janvier!AL25</f>
        <v>8489.423076923078</v>
      </c>
      <c r="AK25" s="231">
        <f>+Janvier!AM25</f>
        <v>8489.423076923078</v>
      </c>
      <c r="AL25" s="231">
        <f>+Janvier!AN25</f>
        <v>5145.1048951048951</v>
      </c>
      <c r="AM25" s="231">
        <f>+Janvier!AO25</f>
        <v>3183.5336538461534</v>
      </c>
      <c r="AN25" s="231">
        <f>+Janvier!AP25</f>
        <v>6367.0673076923067</v>
      </c>
      <c r="AO25" s="231">
        <f>+Janvier!AQ25</f>
        <v>3183.5336538461534</v>
      </c>
      <c r="AP25" s="231">
        <f>+Janvier!AR25</f>
        <v>3183.5336538461534</v>
      </c>
      <c r="AQ25" s="231">
        <f>+Janvier!AS25</f>
        <v>5659.6153846153848</v>
      </c>
      <c r="AR25" s="90">
        <f t="shared" si="39"/>
        <v>5</v>
      </c>
      <c r="AS25" s="90">
        <f t="shared" si="40"/>
        <v>5</v>
      </c>
      <c r="AT25" s="90">
        <f t="shared" si="41"/>
        <v>5</v>
      </c>
      <c r="AU25" s="90">
        <f t="shared" si="42"/>
        <v>4</v>
      </c>
      <c r="AV25" s="90">
        <f>ROUND(Q25/(AL25/5),0)</f>
        <v>4</v>
      </c>
      <c r="AW25" s="90">
        <f t="shared" si="44"/>
        <v>5</v>
      </c>
      <c r="AX25" s="90">
        <f t="shared" si="49"/>
        <v>5</v>
      </c>
      <c r="AY25" s="90">
        <f t="shared" si="46"/>
        <v>6</v>
      </c>
      <c r="AZ25" s="90">
        <f t="shared" si="47"/>
        <v>4</v>
      </c>
      <c r="BA25" s="91">
        <f t="shared" si="48"/>
        <v>6</v>
      </c>
    </row>
    <row r="26" spans="1:53" ht="14.25" customHeight="1" x14ac:dyDescent="0.3">
      <c r="A26" s="184" t="s">
        <v>18</v>
      </c>
      <c r="B26" s="94">
        <v>44044</v>
      </c>
      <c r="C26" s="94">
        <v>44074</v>
      </c>
      <c r="D26" s="104">
        <v>500</v>
      </c>
      <c r="E26" s="96">
        <v>780</v>
      </c>
      <c r="F26" s="97">
        <v>0</v>
      </c>
      <c r="G26" s="95">
        <v>1840</v>
      </c>
      <c r="H26" s="96">
        <v>2400</v>
      </c>
      <c r="I26" s="105">
        <v>0</v>
      </c>
      <c r="J26" s="95">
        <v>1400</v>
      </c>
      <c r="K26" s="96">
        <v>1760</v>
      </c>
      <c r="L26" s="97">
        <v>0</v>
      </c>
      <c r="M26" s="95">
        <v>1400</v>
      </c>
      <c r="N26" s="96">
        <v>1852</v>
      </c>
      <c r="O26" s="97">
        <v>0</v>
      </c>
      <c r="P26" s="95">
        <v>950</v>
      </c>
      <c r="Q26" s="96">
        <v>1118</v>
      </c>
      <c r="R26" s="97">
        <v>0</v>
      </c>
      <c r="S26" s="95">
        <v>600</v>
      </c>
      <c r="T26" s="96">
        <v>730</v>
      </c>
      <c r="U26" s="97">
        <v>0</v>
      </c>
      <c r="V26" s="95">
        <v>1040</v>
      </c>
      <c r="W26" s="96">
        <v>1450</v>
      </c>
      <c r="X26" s="97">
        <v>0</v>
      </c>
      <c r="Y26" s="95">
        <v>520</v>
      </c>
      <c r="Z26" s="96">
        <v>680</v>
      </c>
      <c r="AA26" s="100">
        <v>0</v>
      </c>
      <c r="AB26" s="95">
        <v>520</v>
      </c>
      <c r="AC26" s="96">
        <v>680</v>
      </c>
      <c r="AD26" s="97">
        <v>0</v>
      </c>
      <c r="AE26" s="95">
        <v>1400</v>
      </c>
      <c r="AF26" s="96">
        <v>2910</v>
      </c>
      <c r="AG26" s="105">
        <v>0</v>
      </c>
      <c r="AH26" s="231">
        <f>+Janvier!AJ26</f>
        <v>723.70879120879124</v>
      </c>
      <c r="AI26" s="231">
        <f>+Janvier!AK26</f>
        <v>2251.5384615384619</v>
      </c>
      <c r="AJ26" s="231">
        <f>+Janvier!AL26</f>
        <v>1688.6538461538464</v>
      </c>
      <c r="AK26" s="231">
        <f>+Janvier!AM26</f>
        <v>1688.6538461538464</v>
      </c>
      <c r="AL26" s="231">
        <f>+Janvier!AN26</f>
        <v>1023.4265734265737</v>
      </c>
      <c r="AM26" s="231">
        <f>+Janvier!AO26</f>
        <v>633.24519230769238</v>
      </c>
      <c r="AN26" s="231">
        <f>+Janvier!AP26</f>
        <v>1266.4903846153848</v>
      </c>
      <c r="AO26" s="231">
        <f>+Janvier!AQ26</f>
        <v>633.24519230769238</v>
      </c>
      <c r="AP26" s="231">
        <f>+Janvier!AR26</f>
        <v>633.24519230769238</v>
      </c>
      <c r="AQ26" s="231">
        <f>+Janvier!AS26</f>
        <v>1125.7692307692309</v>
      </c>
      <c r="AR26" s="90">
        <f t="shared" si="39"/>
        <v>5</v>
      </c>
      <c r="AS26" s="90">
        <f t="shared" si="40"/>
        <v>5</v>
      </c>
      <c r="AT26" s="90">
        <f t="shared" si="41"/>
        <v>5</v>
      </c>
      <c r="AU26" s="90">
        <f t="shared" si="42"/>
        <v>5</v>
      </c>
      <c r="AV26" s="90">
        <f t="shared" si="43"/>
        <v>5</v>
      </c>
      <c r="AW26" s="90">
        <f t="shared" si="44"/>
        <v>6</v>
      </c>
      <c r="AX26" s="90">
        <f t="shared" si="49"/>
        <v>6</v>
      </c>
      <c r="AY26" s="90">
        <f t="shared" si="46"/>
        <v>5</v>
      </c>
      <c r="AZ26" s="90">
        <f t="shared" si="47"/>
        <v>5</v>
      </c>
      <c r="BA26" s="91">
        <f t="shared" si="48"/>
        <v>13</v>
      </c>
    </row>
    <row r="27" spans="1:53" ht="14.25" customHeight="1" x14ac:dyDescent="0.3">
      <c r="A27" s="184" t="s">
        <v>19</v>
      </c>
      <c r="B27" s="94">
        <v>44044</v>
      </c>
      <c r="C27" s="94">
        <v>44076</v>
      </c>
      <c r="D27" s="104">
        <v>1960</v>
      </c>
      <c r="E27" s="96">
        <v>2100</v>
      </c>
      <c r="F27" s="97">
        <v>0</v>
      </c>
      <c r="G27" s="95">
        <v>6080</v>
      </c>
      <c r="H27" s="96">
        <v>7140</v>
      </c>
      <c r="I27" s="105">
        <v>0</v>
      </c>
      <c r="J27" s="95">
        <v>4550</v>
      </c>
      <c r="K27" s="96">
        <v>5190</v>
      </c>
      <c r="L27" s="97">
        <v>0</v>
      </c>
      <c r="M27" s="95">
        <v>4600</v>
      </c>
      <c r="N27" s="96">
        <v>5428</v>
      </c>
      <c r="O27" s="97">
        <v>0</v>
      </c>
      <c r="P27" s="95">
        <v>2550</v>
      </c>
      <c r="Q27" s="96">
        <v>2867</v>
      </c>
      <c r="R27" s="97">
        <v>0</v>
      </c>
      <c r="S27" s="95">
        <v>1800</v>
      </c>
      <c r="T27" s="96">
        <v>2085</v>
      </c>
      <c r="U27" s="97">
        <v>0</v>
      </c>
      <c r="V27" s="95">
        <v>3420</v>
      </c>
      <c r="W27" s="96">
        <v>4630</v>
      </c>
      <c r="X27" s="97">
        <v>0</v>
      </c>
      <c r="Y27" s="95">
        <v>1720</v>
      </c>
      <c r="Z27" s="96">
        <v>2110</v>
      </c>
      <c r="AA27" s="100">
        <v>0</v>
      </c>
      <c r="AB27" s="95">
        <v>1720</v>
      </c>
      <c r="AC27" s="96">
        <v>2200</v>
      </c>
      <c r="AD27" s="97">
        <v>0</v>
      </c>
      <c r="AE27" s="95">
        <v>3800</v>
      </c>
      <c r="AF27" s="96">
        <v>5110</v>
      </c>
      <c r="AG27" s="105">
        <v>0</v>
      </c>
      <c r="AH27" s="231">
        <f>+Janvier!AJ27</f>
        <v>1833.75</v>
      </c>
      <c r="AI27" s="231">
        <f>+Janvier!AK27</f>
        <v>5705.0000000000009</v>
      </c>
      <c r="AJ27" s="231">
        <f>+Janvier!AL27</f>
        <v>4278.7500000000009</v>
      </c>
      <c r="AK27" s="231">
        <f>+Janvier!AM27</f>
        <v>4278.7500000000009</v>
      </c>
      <c r="AL27" s="231">
        <f>+Janvier!AN27</f>
        <v>2593.1818181818189</v>
      </c>
      <c r="AM27" s="231">
        <f>+Janvier!AO27</f>
        <v>1604.53125</v>
      </c>
      <c r="AN27" s="231">
        <f>+Janvier!AP27</f>
        <v>3209.0625</v>
      </c>
      <c r="AO27" s="231">
        <f>+Janvier!AQ27</f>
        <v>1604.53125</v>
      </c>
      <c r="AP27" s="231">
        <f>+Janvier!AR27</f>
        <v>1604.53125</v>
      </c>
      <c r="AQ27" s="231">
        <f>+Janvier!AS27</f>
        <v>2852.5000000000005</v>
      </c>
      <c r="AR27" s="90">
        <f t="shared" si="39"/>
        <v>6</v>
      </c>
      <c r="AS27" s="90">
        <f t="shared" si="40"/>
        <v>6</v>
      </c>
      <c r="AT27" s="90">
        <f t="shared" si="41"/>
        <v>6</v>
      </c>
      <c r="AU27" s="90">
        <f t="shared" si="42"/>
        <v>6</v>
      </c>
      <c r="AV27" s="90">
        <f t="shared" si="43"/>
        <v>6</v>
      </c>
      <c r="AW27" s="90">
        <f t="shared" si="44"/>
        <v>6</v>
      </c>
      <c r="AX27" s="90">
        <f t="shared" si="49"/>
        <v>7</v>
      </c>
      <c r="AY27" s="90">
        <f t="shared" si="46"/>
        <v>7</v>
      </c>
      <c r="AZ27" s="90">
        <f t="shared" si="47"/>
        <v>7</v>
      </c>
      <c r="BA27" s="91">
        <f t="shared" si="48"/>
        <v>9</v>
      </c>
    </row>
    <row r="28" spans="1:53" ht="14.25" customHeight="1" x14ac:dyDescent="0.3">
      <c r="A28" s="184" t="s">
        <v>20</v>
      </c>
      <c r="B28" s="94">
        <v>44044</v>
      </c>
      <c r="C28" s="94">
        <v>44074</v>
      </c>
      <c r="D28" s="104">
        <v>860</v>
      </c>
      <c r="E28" s="96">
        <v>1320</v>
      </c>
      <c r="F28" s="97">
        <v>0</v>
      </c>
      <c r="G28" s="95">
        <v>3960</v>
      </c>
      <c r="H28" s="96">
        <v>4080</v>
      </c>
      <c r="I28" s="105">
        <v>0</v>
      </c>
      <c r="J28" s="95">
        <v>2520</v>
      </c>
      <c r="K28" s="96">
        <v>3050</v>
      </c>
      <c r="L28" s="97">
        <v>0</v>
      </c>
      <c r="M28" s="95">
        <v>2540</v>
      </c>
      <c r="N28" s="96">
        <v>3056</v>
      </c>
      <c r="O28" s="97">
        <v>0</v>
      </c>
      <c r="P28" s="95">
        <v>1500</v>
      </c>
      <c r="Q28" s="96">
        <v>1727</v>
      </c>
      <c r="R28" s="97">
        <v>0</v>
      </c>
      <c r="S28" s="95">
        <v>940</v>
      </c>
      <c r="T28" s="96">
        <v>1145</v>
      </c>
      <c r="U28" s="97">
        <v>0</v>
      </c>
      <c r="V28" s="95">
        <v>1100</v>
      </c>
      <c r="W28" s="96">
        <v>2290</v>
      </c>
      <c r="X28" s="97">
        <v>0</v>
      </c>
      <c r="Y28" s="95">
        <v>840</v>
      </c>
      <c r="Z28" s="96">
        <v>1250</v>
      </c>
      <c r="AA28" s="100">
        <v>0</v>
      </c>
      <c r="AB28" s="95">
        <v>840</v>
      </c>
      <c r="AC28" s="96">
        <v>1250</v>
      </c>
      <c r="AD28" s="97">
        <v>0</v>
      </c>
      <c r="AE28" s="95">
        <v>800</v>
      </c>
      <c r="AF28" s="96">
        <v>2550</v>
      </c>
      <c r="AG28" s="105">
        <v>0</v>
      </c>
      <c r="AH28" s="231">
        <f>+Janvier!AJ28</f>
        <v>1230.2060439560439</v>
      </c>
      <c r="AI28" s="231">
        <f>+Janvier!AK28</f>
        <v>3827.3076923076924</v>
      </c>
      <c r="AJ28" s="231">
        <f>+Janvier!AL28</f>
        <v>2870.4807692307691</v>
      </c>
      <c r="AK28" s="231">
        <f>+Janvier!AM28</f>
        <v>2870.4807692307691</v>
      </c>
      <c r="AL28" s="231">
        <f>+Janvier!AN28</f>
        <v>1739.6853146853146</v>
      </c>
      <c r="AM28" s="231">
        <f>+Janvier!AO28</f>
        <v>1076.4302884615383</v>
      </c>
      <c r="AN28" s="231">
        <f>+Janvier!AP28</f>
        <v>2152.8605769230767</v>
      </c>
      <c r="AO28" s="231">
        <f>+Janvier!AQ28</f>
        <v>1076.4302884615383</v>
      </c>
      <c r="AP28" s="231">
        <f>+Janvier!AR28</f>
        <v>1076.4302884615383</v>
      </c>
      <c r="AQ28" s="231">
        <f>+Janvier!AS28</f>
        <v>1913.6538461538462</v>
      </c>
      <c r="AR28" s="90">
        <f t="shared" si="39"/>
        <v>5</v>
      </c>
      <c r="AS28" s="90">
        <f t="shared" si="40"/>
        <v>5</v>
      </c>
      <c r="AT28" s="90">
        <f t="shared" si="41"/>
        <v>5</v>
      </c>
      <c r="AU28" s="90">
        <f t="shared" si="42"/>
        <v>5</v>
      </c>
      <c r="AV28" s="90">
        <f t="shared" si="43"/>
        <v>5</v>
      </c>
      <c r="AW28" s="90">
        <f t="shared" si="44"/>
        <v>5</v>
      </c>
      <c r="AX28" s="90">
        <f t="shared" si="49"/>
        <v>5</v>
      </c>
      <c r="AY28" s="90">
        <f t="shared" si="46"/>
        <v>6</v>
      </c>
      <c r="AZ28" s="90">
        <f t="shared" si="47"/>
        <v>6</v>
      </c>
      <c r="BA28" s="91">
        <f t="shared" si="48"/>
        <v>7</v>
      </c>
    </row>
    <row r="29" spans="1:53" ht="15" thickBot="1" x14ac:dyDescent="0.35">
      <c r="A29" s="121" t="s">
        <v>79</v>
      </c>
      <c r="B29" s="143">
        <v>44044</v>
      </c>
      <c r="C29" s="143">
        <v>44074</v>
      </c>
      <c r="D29" s="161">
        <v>1460</v>
      </c>
      <c r="E29" s="109">
        <v>1920</v>
      </c>
      <c r="F29" s="110">
        <v>0</v>
      </c>
      <c r="G29" s="111">
        <v>4160</v>
      </c>
      <c r="H29" s="109">
        <v>6260</v>
      </c>
      <c r="I29" s="112">
        <v>0</v>
      </c>
      <c r="J29" s="111">
        <v>3230</v>
      </c>
      <c r="K29" s="109">
        <v>4700</v>
      </c>
      <c r="L29" s="110">
        <v>0</v>
      </c>
      <c r="M29" s="111">
        <v>3140</v>
      </c>
      <c r="N29" s="109">
        <v>4682</v>
      </c>
      <c r="O29" s="110">
        <v>0</v>
      </c>
      <c r="P29" s="111">
        <v>1984</v>
      </c>
      <c r="Q29" s="109">
        <v>2884</v>
      </c>
      <c r="R29" s="110">
        <v>0</v>
      </c>
      <c r="S29" s="111">
        <v>375</v>
      </c>
      <c r="T29" s="109">
        <v>1785</v>
      </c>
      <c r="U29" s="110">
        <v>0</v>
      </c>
      <c r="V29" s="111">
        <v>1880</v>
      </c>
      <c r="W29" s="109">
        <v>2500</v>
      </c>
      <c r="X29" s="110">
        <v>0</v>
      </c>
      <c r="Y29" s="111">
        <v>1180</v>
      </c>
      <c r="Z29" s="109">
        <v>1770</v>
      </c>
      <c r="AA29" s="162">
        <v>0</v>
      </c>
      <c r="AB29" s="111">
        <v>1140</v>
      </c>
      <c r="AC29" s="109">
        <v>1770</v>
      </c>
      <c r="AD29" s="110">
        <v>0</v>
      </c>
      <c r="AE29" s="111">
        <v>2120</v>
      </c>
      <c r="AF29" s="109">
        <v>3900</v>
      </c>
      <c r="AG29" s="112">
        <v>0</v>
      </c>
      <c r="AH29" s="231">
        <f>+Janvier!AJ29</f>
        <v>1892.3489010989013</v>
      </c>
      <c r="AI29" s="231">
        <f>+Janvier!AK29</f>
        <v>5887.3076923076933</v>
      </c>
      <c r="AJ29" s="231">
        <f>+Janvier!AL29</f>
        <v>4415.4807692307704</v>
      </c>
      <c r="AK29" s="231">
        <f>+Janvier!AM29</f>
        <v>4415.4807692307704</v>
      </c>
      <c r="AL29" s="231">
        <f>+Janvier!AN29</f>
        <v>2676.0489510489515</v>
      </c>
      <c r="AM29" s="231">
        <f>+Janvier!AO29</f>
        <v>1655.8052884615383</v>
      </c>
      <c r="AN29" s="231">
        <f>+Janvier!AP29</f>
        <v>3311.6105769230767</v>
      </c>
      <c r="AO29" s="231">
        <f>+Janvier!AQ29</f>
        <v>1655.8052884615383</v>
      </c>
      <c r="AP29" s="231">
        <f>+Janvier!AR29</f>
        <v>1655.8052884615383</v>
      </c>
      <c r="AQ29" s="231">
        <f>+Janvier!AS29</f>
        <v>2943.6538461538466</v>
      </c>
      <c r="AR29" s="92">
        <f t="shared" si="39"/>
        <v>5</v>
      </c>
      <c r="AS29" s="92">
        <f t="shared" si="40"/>
        <v>5</v>
      </c>
      <c r="AT29" s="92">
        <f t="shared" si="41"/>
        <v>5</v>
      </c>
      <c r="AU29" s="92">
        <f t="shared" si="42"/>
        <v>5</v>
      </c>
      <c r="AV29" s="92">
        <f t="shared" si="43"/>
        <v>5</v>
      </c>
      <c r="AW29" s="92">
        <f t="shared" si="44"/>
        <v>5</v>
      </c>
      <c r="AX29" s="92">
        <f t="shared" si="49"/>
        <v>4</v>
      </c>
      <c r="AY29" s="92">
        <f t="shared" si="46"/>
        <v>5</v>
      </c>
      <c r="AZ29" s="92">
        <f t="shared" si="47"/>
        <v>5</v>
      </c>
      <c r="BA29" s="93">
        <f t="shared" si="48"/>
        <v>7</v>
      </c>
    </row>
    <row r="30" spans="1:53" ht="15" thickBot="1" x14ac:dyDescent="0.35">
      <c r="A30" s="140" t="s">
        <v>84</v>
      </c>
      <c r="B30" s="160">
        <v>44044</v>
      </c>
      <c r="C30" s="160">
        <v>44074</v>
      </c>
      <c r="D30" s="163">
        <v>74000</v>
      </c>
      <c r="E30" s="163">
        <v>54040</v>
      </c>
      <c r="F30" s="124">
        <v>0</v>
      </c>
      <c r="G30" s="254">
        <v>227000</v>
      </c>
      <c r="H30" s="163">
        <v>195160</v>
      </c>
      <c r="I30" s="124">
        <v>0</v>
      </c>
      <c r="J30" s="253">
        <v>170920</v>
      </c>
      <c r="K30" s="163">
        <v>151640</v>
      </c>
      <c r="L30" s="124">
        <v>0</v>
      </c>
      <c r="M30" s="163">
        <v>170200</v>
      </c>
      <c r="N30" s="163">
        <v>142936</v>
      </c>
      <c r="O30" s="124">
        <v>0</v>
      </c>
      <c r="P30" s="163">
        <v>103200</v>
      </c>
      <c r="Q30" s="163">
        <v>78000</v>
      </c>
      <c r="R30" s="124">
        <v>0</v>
      </c>
      <c r="S30" s="163">
        <v>63900</v>
      </c>
      <c r="T30" s="163">
        <v>53560</v>
      </c>
      <c r="U30" s="124">
        <v>0</v>
      </c>
      <c r="V30" s="163">
        <v>128000</v>
      </c>
      <c r="W30" s="163">
        <v>117100</v>
      </c>
      <c r="X30" s="124">
        <v>0</v>
      </c>
      <c r="Y30" s="163">
        <v>64000</v>
      </c>
      <c r="Z30" s="163">
        <v>49740</v>
      </c>
      <c r="AA30" s="115">
        <v>0</v>
      </c>
      <c r="AB30" s="163">
        <v>63820</v>
      </c>
      <c r="AC30" s="163">
        <v>39020</v>
      </c>
      <c r="AD30" s="124">
        <v>0</v>
      </c>
      <c r="AE30" s="163">
        <v>114200</v>
      </c>
      <c r="AF30" s="163">
        <v>105100</v>
      </c>
      <c r="AG30" s="126">
        <v>0</v>
      </c>
      <c r="AH30" s="231">
        <f>+Janvier!AJ30</f>
        <v>84811.691250000003</v>
      </c>
      <c r="AI30" s="231">
        <f>+Janvier!AK30</f>
        <v>294602.45192307694</v>
      </c>
      <c r="AJ30" s="231">
        <f>+Janvier!AL30</f>
        <v>196205.23298076927</v>
      </c>
      <c r="AK30" s="231">
        <f>+Janvier!AM30</f>
        <v>196205.23298076927</v>
      </c>
      <c r="AL30" s="231">
        <f>+Janvier!AN30</f>
        <v>123733.02980769234</v>
      </c>
      <c r="AM30" s="231">
        <f>+Janvier!AO30</f>
        <v>73650.612980769234</v>
      </c>
      <c r="AN30" s="231">
        <f>+Janvier!AP30</f>
        <v>147301.22596153847</v>
      </c>
      <c r="AO30" s="231">
        <f>+Janvier!AQ30</f>
        <v>73650.612980769234</v>
      </c>
      <c r="AP30" s="231">
        <f>+Janvier!AR30</f>
        <v>73650.612980769234</v>
      </c>
      <c r="AQ30" s="231">
        <f>+Janvier!AS30</f>
        <v>131665.70250000001</v>
      </c>
      <c r="AR30" s="90">
        <f>ROUND(E30/(AH30/15),0)</f>
        <v>10</v>
      </c>
      <c r="AS30" s="90">
        <f t="shared" ref="AS30" si="50">ROUND(H30/(AI30/15),0)</f>
        <v>10</v>
      </c>
      <c r="AT30" s="90">
        <f t="shared" ref="AT30" si="51">ROUND(K30/(AJ30/15),0)</f>
        <v>12</v>
      </c>
      <c r="AU30" s="90">
        <f t="shared" ref="AU30" si="52">ROUND(N30/(AK30/15),0)</f>
        <v>11</v>
      </c>
      <c r="AV30" s="90">
        <f t="shared" ref="AV30" si="53">ROUND(Q30/(AL30/15),0)</f>
        <v>9</v>
      </c>
      <c r="AW30" s="90">
        <f t="shared" ref="AW30" si="54">ROUND(T30/(AM30/15),0)</f>
        <v>11</v>
      </c>
      <c r="AX30" s="90">
        <f t="shared" ref="AX30" si="55">ROUND(W30/(AN30/15),0)</f>
        <v>12</v>
      </c>
      <c r="AY30" s="90">
        <f t="shared" ref="AY30" si="56">ROUND(Z30/(AO30/15),0)</f>
        <v>10</v>
      </c>
      <c r="AZ30" s="90">
        <f t="shared" ref="AZ30" si="57">ROUND(AC30/(AP30/15),0)</f>
        <v>8</v>
      </c>
      <c r="BA30" s="91">
        <f t="shared" ref="BA30" si="58">ROUND(AF30/(AQ30/15),0)</f>
        <v>12</v>
      </c>
    </row>
    <row r="31" spans="1:53" ht="15" thickBot="1" x14ac:dyDescent="0.35">
      <c r="A31" s="184" t="s">
        <v>35</v>
      </c>
      <c r="B31" s="160" t="s">
        <v>147</v>
      </c>
      <c r="C31" s="94">
        <v>44074</v>
      </c>
      <c r="D31" s="106">
        <v>2500</v>
      </c>
      <c r="E31" s="106">
        <v>2300</v>
      </c>
      <c r="F31" s="97">
        <v>0</v>
      </c>
      <c r="G31" s="116">
        <v>6560</v>
      </c>
      <c r="H31" s="106">
        <v>6060</v>
      </c>
      <c r="I31" s="97">
        <v>0</v>
      </c>
      <c r="J31" s="236">
        <v>4790</v>
      </c>
      <c r="K31" s="106">
        <v>4780</v>
      </c>
      <c r="L31" s="97">
        <v>0</v>
      </c>
      <c r="M31" s="106">
        <v>4868</v>
      </c>
      <c r="N31" s="106">
        <v>4768</v>
      </c>
      <c r="O31" s="97">
        <v>0</v>
      </c>
      <c r="P31" s="106">
        <v>3065</v>
      </c>
      <c r="Q31" s="106">
        <v>3013</v>
      </c>
      <c r="R31" s="97">
        <v>0</v>
      </c>
      <c r="S31" s="106">
        <v>1660</v>
      </c>
      <c r="T31" s="106">
        <v>1620</v>
      </c>
      <c r="U31" s="97">
        <v>0</v>
      </c>
      <c r="V31" s="106">
        <v>3740</v>
      </c>
      <c r="W31" s="106">
        <v>3640</v>
      </c>
      <c r="X31" s="97">
        <v>0</v>
      </c>
      <c r="Y31" s="106">
        <v>2400</v>
      </c>
      <c r="Z31" s="106">
        <v>2000</v>
      </c>
      <c r="AA31" s="100">
        <v>0</v>
      </c>
      <c r="AB31" s="106">
        <v>2010</v>
      </c>
      <c r="AC31" s="106">
        <v>2000</v>
      </c>
      <c r="AD31" s="97">
        <v>0</v>
      </c>
      <c r="AE31" s="106">
        <v>3550</v>
      </c>
      <c r="AF31" s="106">
        <v>3300</v>
      </c>
      <c r="AG31" s="105">
        <v>0</v>
      </c>
      <c r="AH31" s="231">
        <f>+Janvier!AJ31</f>
        <v>2028.8324175824175</v>
      </c>
      <c r="AI31" s="231">
        <f>+Janvier!AK31</f>
        <v>6311.9230769230771</v>
      </c>
      <c r="AJ31" s="231">
        <f>+Janvier!AL31</f>
        <v>4733.9423076923076</v>
      </c>
      <c r="AK31" s="231">
        <f>+Janvier!AM31</f>
        <v>4733.9423076923076</v>
      </c>
      <c r="AL31" s="231">
        <f>+Janvier!AN31</f>
        <v>2869.0559440559441</v>
      </c>
      <c r="AM31" s="231">
        <f>+Janvier!AO31</f>
        <v>1775.2283653846155</v>
      </c>
      <c r="AN31" s="231">
        <f>+Janvier!AP31</f>
        <v>3550.4567307692309</v>
      </c>
      <c r="AO31" s="231">
        <f>+Janvier!AQ31</f>
        <v>1775.2283653846155</v>
      </c>
      <c r="AP31" s="231">
        <f>+Janvier!AR31</f>
        <v>1775.2283653846155</v>
      </c>
      <c r="AQ31" s="231">
        <f>+Janvier!AS31</f>
        <v>3155.9615384615386</v>
      </c>
      <c r="AR31" s="16">
        <f t="shared" ref="AR31:AR39" si="59">ROUND(E31/(AH31/5),0)</f>
        <v>6</v>
      </c>
      <c r="AS31" s="16">
        <f t="shared" ref="AS31:AS39" si="60">ROUND(H31/(AI31/5),0)</f>
        <v>5</v>
      </c>
      <c r="AT31" s="16">
        <f t="shared" ref="AT31:AT39" si="61">ROUND(K31/(AJ31/5),0)</f>
        <v>5</v>
      </c>
      <c r="AU31" s="16">
        <f t="shared" ref="AU31:AU39" si="62">ROUND(N31/(AK31/5),0)</f>
        <v>5</v>
      </c>
      <c r="AV31" s="16">
        <f t="shared" ref="AV31:AV39" si="63">ROUND(Q31/(AL31/5),0)</f>
        <v>5</v>
      </c>
      <c r="AW31" s="16">
        <f t="shared" ref="AW31:AW39" si="64">ROUND(T31/(AM31/5),0)</f>
        <v>5</v>
      </c>
      <c r="AX31" s="16">
        <f t="shared" ref="AX31:AX39" si="65">ROUND(W31/(AN31/5),0)</f>
        <v>5</v>
      </c>
      <c r="AY31" s="16">
        <f t="shared" ref="AY31:AY39" si="66">ROUND(Z31/(AO31/5),0)</f>
        <v>6</v>
      </c>
      <c r="AZ31" s="16">
        <f t="shared" ref="AZ31:AZ39" si="67">ROUND(AC31/(AP31/5),0)</f>
        <v>6</v>
      </c>
      <c r="BA31" s="17">
        <f t="shared" ref="BA31:BA39" si="68">ROUND(AF31/(AQ31/5),0)</f>
        <v>5</v>
      </c>
    </row>
    <row r="32" spans="1:53" ht="15" thickBot="1" x14ac:dyDescent="0.35">
      <c r="A32" s="184" t="s">
        <v>36</v>
      </c>
      <c r="B32" s="160" t="s">
        <v>147</v>
      </c>
      <c r="C32" s="94">
        <v>44074</v>
      </c>
      <c r="D32" s="106">
        <v>1000</v>
      </c>
      <c r="E32" s="96">
        <v>400</v>
      </c>
      <c r="F32" s="97">
        <v>0</v>
      </c>
      <c r="G32" s="116">
        <v>1500</v>
      </c>
      <c r="H32" s="96">
        <v>1400</v>
      </c>
      <c r="I32" s="97">
        <v>0</v>
      </c>
      <c r="J32" s="236">
        <v>1600</v>
      </c>
      <c r="K32" s="96">
        <v>1200</v>
      </c>
      <c r="L32" s="97">
        <v>0</v>
      </c>
      <c r="M32" s="106">
        <v>1400</v>
      </c>
      <c r="N32" s="96">
        <v>1200</v>
      </c>
      <c r="O32" s="97">
        <v>0</v>
      </c>
      <c r="P32" s="106">
        <v>800</v>
      </c>
      <c r="Q32" s="96">
        <v>750</v>
      </c>
      <c r="R32" s="97">
        <v>0</v>
      </c>
      <c r="S32" s="106">
        <v>450</v>
      </c>
      <c r="T32" s="96">
        <v>400</v>
      </c>
      <c r="U32" s="97">
        <v>0</v>
      </c>
      <c r="V32" s="106">
        <v>1500</v>
      </c>
      <c r="W32" s="96">
        <v>770</v>
      </c>
      <c r="X32" s="97">
        <v>0</v>
      </c>
      <c r="Y32" s="106">
        <v>600</v>
      </c>
      <c r="Z32" s="96">
        <v>400</v>
      </c>
      <c r="AA32" s="100">
        <v>0</v>
      </c>
      <c r="AB32" s="106">
        <v>600</v>
      </c>
      <c r="AC32" s="96">
        <v>400</v>
      </c>
      <c r="AD32" s="97">
        <v>0</v>
      </c>
      <c r="AE32" s="106">
        <v>1000</v>
      </c>
      <c r="AF32" s="96">
        <v>810</v>
      </c>
      <c r="AG32" s="105">
        <v>0</v>
      </c>
      <c r="AH32" s="231">
        <f>+Janvier!AJ32</f>
        <v>431.0851648351649</v>
      </c>
      <c r="AI32" s="231">
        <f>+Janvier!AK32</f>
        <v>1341.1538461538464</v>
      </c>
      <c r="AJ32" s="231">
        <f>+Janvier!AL32</f>
        <v>1005.8653846153848</v>
      </c>
      <c r="AK32" s="231">
        <f>+Janvier!AM32</f>
        <v>1005.8653846153848</v>
      </c>
      <c r="AL32" s="231">
        <f>+Janvier!AN32</f>
        <v>609.61538461538464</v>
      </c>
      <c r="AM32" s="231">
        <f>+Janvier!AO32</f>
        <v>377.19951923076917</v>
      </c>
      <c r="AN32" s="231">
        <f>+Janvier!AP32</f>
        <v>754.39903846153834</v>
      </c>
      <c r="AO32" s="231">
        <f>+Janvier!AQ32</f>
        <v>377.19951923076917</v>
      </c>
      <c r="AP32" s="231">
        <f>+Janvier!AR32</f>
        <v>377.19951923076917</v>
      </c>
      <c r="AQ32" s="231">
        <f>+Janvier!AS32</f>
        <v>670.57692307692321</v>
      </c>
      <c r="AR32" s="16">
        <f t="shared" si="59"/>
        <v>5</v>
      </c>
      <c r="AS32" s="16">
        <f t="shared" si="60"/>
        <v>5</v>
      </c>
      <c r="AT32" s="16">
        <f t="shared" si="61"/>
        <v>6</v>
      </c>
      <c r="AU32" s="16">
        <f t="shared" si="62"/>
        <v>6</v>
      </c>
      <c r="AV32" s="16">
        <f t="shared" si="63"/>
        <v>6</v>
      </c>
      <c r="AW32" s="16">
        <f t="shared" si="64"/>
        <v>5</v>
      </c>
      <c r="AX32" s="16">
        <f t="shared" si="65"/>
        <v>5</v>
      </c>
      <c r="AY32" s="16">
        <f t="shared" si="66"/>
        <v>5</v>
      </c>
      <c r="AZ32" s="16">
        <f t="shared" si="67"/>
        <v>5</v>
      </c>
      <c r="BA32" s="17">
        <f t="shared" si="68"/>
        <v>6</v>
      </c>
    </row>
    <row r="33" spans="1:53" ht="15" thickBot="1" x14ac:dyDescent="0.35">
      <c r="A33" s="184" t="s">
        <v>37</v>
      </c>
      <c r="B33" s="160" t="s">
        <v>147</v>
      </c>
      <c r="C33" s="94">
        <v>44074</v>
      </c>
      <c r="D33" s="106">
        <v>6000</v>
      </c>
      <c r="E33" s="106">
        <v>5260</v>
      </c>
      <c r="F33" s="97">
        <v>0</v>
      </c>
      <c r="G33" s="116">
        <v>16500</v>
      </c>
      <c r="H33" s="106">
        <v>16000</v>
      </c>
      <c r="I33" s="97">
        <v>0</v>
      </c>
      <c r="J33" s="236">
        <v>12500</v>
      </c>
      <c r="K33" s="106">
        <v>12000</v>
      </c>
      <c r="L33" s="97">
        <v>0</v>
      </c>
      <c r="M33" s="106">
        <v>12500</v>
      </c>
      <c r="N33" s="106">
        <v>12000</v>
      </c>
      <c r="O33" s="97">
        <v>0</v>
      </c>
      <c r="P33" s="106">
        <v>8200</v>
      </c>
      <c r="Q33" s="106">
        <v>8000</v>
      </c>
      <c r="R33" s="97">
        <v>0</v>
      </c>
      <c r="S33" s="106">
        <v>4500</v>
      </c>
      <c r="T33" s="106">
        <v>4100</v>
      </c>
      <c r="U33" s="97">
        <v>0</v>
      </c>
      <c r="V33" s="106">
        <v>10500</v>
      </c>
      <c r="W33" s="106">
        <v>9500</v>
      </c>
      <c r="X33" s="97">
        <v>0</v>
      </c>
      <c r="Y33" s="106">
        <v>5200</v>
      </c>
      <c r="Z33" s="106">
        <v>4800</v>
      </c>
      <c r="AA33" s="100">
        <v>0</v>
      </c>
      <c r="AB33" s="106">
        <v>5200</v>
      </c>
      <c r="AC33" s="106">
        <v>4800</v>
      </c>
      <c r="AD33" s="97">
        <v>0</v>
      </c>
      <c r="AE33" s="106">
        <v>8400</v>
      </c>
      <c r="AF33" s="106">
        <v>8300</v>
      </c>
      <c r="AG33" s="105">
        <v>0</v>
      </c>
      <c r="AH33" s="231">
        <f>+Janvier!AJ33</f>
        <v>5199.2307692307695</v>
      </c>
      <c r="AI33" s="231">
        <f>+Janvier!AK33</f>
        <v>16175.384615384613</v>
      </c>
      <c r="AJ33" s="231">
        <f>+Janvier!AL33</f>
        <v>12131.538461538461</v>
      </c>
      <c r="AK33" s="231">
        <f>+Janvier!AM33</f>
        <v>12131.538461538461</v>
      </c>
      <c r="AL33" s="231">
        <f>+Janvier!AN33</f>
        <v>7352.4475524475547</v>
      </c>
      <c r="AM33" s="231">
        <f>+Janvier!AO33</f>
        <v>4549.3269230769229</v>
      </c>
      <c r="AN33" s="231">
        <f>+Janvier!AP33</f>
        <v>9098.6538461538457</v>
      </c>
      <c r="AO33" s="231">
        <f>+Janvier!AQ33</f>
        <v>4549.3269230769229</v>
      </c>
      <c r="AP33" s="231">
        <f>+Janvier!AR33</f>
        <v>4549.3269230769229</v>
      </c>
      <c r="AQ33" s="231">
        <f>+Janvier!AS33</f>
        <v>8087.6923076923067</v>
      </c>
      <c r="AR33" s="16">
        <f t="shared" si="59"/>
        <v>5</v>
      </c>
      <c r="AS33" s="16">
        <f t="shared" si="60"/>
        <v>5</v>
      </c>
      <c r="AT33" s="16">
        <f t="shared" si="61"/>
        <v>5</v>
      </c>
      <c r="AU33" s="16">
        <f t="shared" si="62"/>
        <v>5</v>
      </c>
      <c r="AV33" s="16">
        <f t="shared" si="63"/>
        <v>5</v>
      </c>
      <c r="AW33" s="16">
        <f t="shared" si="64"/>
        <v>5</v>
      </c>
      <c r="AX33" s="16">
        <f t="shared" si="65"/>
        <v>5</v>
      </c>
      <c r="AY33" s="16">
        <f t="shared" si="66"/>
        <v>5</v>
      </c>
      <c r="AZ33" s="16">
        <f t="shared" si="67"/>
        <v>5</v>
      </c>
      <c r="BA33" s="17">
        <f t="shared" si="68"/>
        <v>5</v>
      </c>
    </row>
    <row r="34" spans="1:53" ht="15" thickBot="1" x14ac:dyDescent="0.35">
      <c r="A34" s="184" t="s">
        <v>38</v>
      </c>
      <c r="B34" s="160" t="s">
        <v>147</v>
      </c>
      <c r="C34" s="94">
        <v>44074</v>
      </c>
      <c r="D34" s="106">
        <v>1350</v>
      </c>
      <c r="E34" s="106">
        <v>1160</v>
      </c>
      <c r="F34" s="97">
        <v>0</v>
      </c>
      <c r="G34" s="116">
        <v>3500</v>
      </c>
      <c r="H34" s="106">
        <v>3460</v>
      </c>
      <c r="I34" s="97">
        <v>0</v>
      </c>
      <c r="J34" s="236">
        <v>2610</v>
      </c>
      <c r="K34" s="106">
        <v>2470</v>
      </c>
      <c r="L34" s="97">
        <v>0</v>
      </c>
      <c r="M34" s="106">
        <v>2712</v>
      </c>
      <c r="N34" s="106">
        <v>2612</v>
      </c>
      <c r="O34" s="97">
        <v>0</v>
      </c>
      <c r="P34" s="106">
        <v>2500</v>
      </c>
      <c r="Q34" s="106">
        <v>2050</v>
      </c>
      <c r="R34" s="97">
        <v>0</v>
      </c>
      <c r="S34" s="106">
        <v>1500</v>
      </c>
      <c r="T34" s="106">
        <v>1000</v>
      </c>
      <c r="U34" s="97">
        <v>0</v>
      </c>
      <c r="V34" s="106">
        <v>2010</v>
      </c>
      <c r="W34" s="106">
        <v>1770</v>
      </c>
      <c r="X34" s="97">
        <v>0</v>
      </c>
      <c r="Y34" s="106">
        <v>1100</v>
      </c>
      <c r="Z34" s="106">
        <v>1000</v>
      </c>
      <c r="AA34" s="100">
        <v>0</v>
      </c>
      <c r="AB34" s="106">
        <v>1100</v>
      </c>
      <c r="AC34" s="106">
        <v>1090</v>
      </c>
      <c r="AD34" s="97">
        <v>0</v>
      </c>
      <c r="AE34" s="106">
        <v>1870</v>
      </c>
      <c r="AF34" s="106">
        <v>1840</v>
      </c>
      <c r="AG34" s="105">
        <v>0</v>
      </c>
      <c r="AH34" s="231">
        <f>+Janvier!AJ34</f>
        <v>1323.9148351648353</v>
      </c>
      <c r="AI34" s="231">
        <f>+Janvier!AK34</f>
        <v>4118.8461538461534</v>
      </c>
      <c r="AJ34" s="231">
        <f>+Janvier!AL34</f>
        <v>3089.1346153846152</v>
      </c>
      <c r="AK34" s="231">
        <f>+Janvier!AM34</f>
        <v>3089.1346153846152</v>
      </c>
      <c r="AL34" s="231">
        <f>+Janvier!AN34</f>
        <v>1872.2027972027972</v>
      </c>
      <c r="AM34" s="231">
        <f>+Janvier!AO34</f>
        <v>1158.4254807692307</v>
      </c>
      <c r="AN34" s="231">
        <f>+Janvier!AP34</f>
        <v>2316.8509615384614</v>
      </c>
      <c r="AO34" s="231">
        <f>+Janvier!AQ34</f>
        <v>1158.4254807692307</v>
      </c>
      <c r="AP34" s="231">
        <f>+Janvier!AR34</f>
        <v>1158.4254807692307</v>
      </c>
      <c r="AQ34" s="231">
        <f>+Janvier!AS34</f>
        <v>2059.4230769230767</v>
      </c>
      <c r="AR34" s="16">
        <f t="shared" si="59"/>
        <v>4</v>
      </c>
      <c r="AS34" s="16">
        <f t="shared" si="60"/>
        <v>4</v>
      </c>
      <c r="AT34" s="16">
        <f t="shared" si="61"/>
        <v>4</v>
      </c>
      <c r="AU34" s="16">
        <f t="shared" si="62"/>
        <v>4</v>
      </c>
      <c r="AV34" s="16">
        <f t="shared" si="63"/>
        <v>5</v>
      </c>
      <c r="AW34" s="16">
        <f t="shared" si="64"/>
        <v>4</v>
      </c>
      <c r="AX34" s="16">
        <f t="shared" si="65"/>
        <v>4</v>
      </c>
      <c r="AY34" s="16">
        <f t="shared" si="66"/>
        <v>4</v>
      </c>
      <c r="AZ34" s="16">
        <f t="shared" si="67"/>
        <v>5</v>
      </c>
      <c r="BA34" s="17">
        <f t="shared" si="68"/>
        <v>4</v>
      </c>
    </row>
    <row r="35" spans="1:53" ht="15" thickBot="1" x14ac:dyDescent="0.35">
      <c r="A35" s="184" t="s">
        <v>39</v>
      </c>
      <c r="B35" s="160" t="s">
        <v>147</v>
      </c>
      <c r="C35" s="94">
        <v>44074</v>
      </c>
      <c r="D35" s="106">
        <v>5000</v>
      </c>
      <c r="E35" s="106">
        <v>4500</v>
      </c>
      <c r="F35" s="97">
        <v>0</v>
      </c>
      <c r="G35" s="116">
        <v>13720</v>
      </c>
      <c r="H35" s="106">
        <v>12920</v>
      </c>
      <c r="I35" s="97">
        <v>0</v>
      </c>
      <c r="J35" s="236">
        <v>9500</v>
      </c>
      <c r="K35" s="106">
        <v>9020</v>
      </c>
      <c r="L35" s="97">
        <v>0</v>
      </c>
      <c r="M35" s="106">
        <v>9008</v>
      </c>
      <c r="N35" s="106">
        <v>8804</v>
      </c>
      <c r="O35" s="97">
        <v>0</v>
      </c>
      <c r="P35" s="106">
        <v>6802</v>
      </c>
      <c r="Q35" s="106">
        <v>6370</v>
      </c>
      <c r="R35" s="97">
        <v>0</v>
      </c>
      <c r="S35" s="106">
        <v>3460</v>
      </c>
      <c r="T35" s="106">
        <v>3365</v>
      </c>
      <c r="U35" s="97">
        <v>0</v>
      </c>
      <c r="V35" s="106">
        <v>8070</v>
      </c>
      <c r="W35" s="106">
        <v>7630</v>
      </c>
      <c r="X35" s="97">
        <v>0</v>
      </c>
      <c r="Y35" s="106">
        <v>4600</v>
      </c>
      <c r="Z35" s="106">
        <v>4520</v>
      </c>
      <c r="AA35" s="100">
        <v>0</v>
      </c>
      <c r="AB35" s="106">
        <v>4100</v>
      </c>
      <c r="AC35" s="106">
        <v>4000</v>
      </c>
      <c r="AD35" s="97">
        <v>0</v>
      </c>
      <c r="AE35" s="106">
        <v>7230</v>
      </c>
      <c r="AF35" s="106">
        <v>6680</v>
      </c>
      <c r="AG35" s="105">
        <v>0</v>
      </c>
      <c r="AH35" s="231">
        <f>+Janvier!AJ35</f>
        <v>4319.1346153846152</v>
      </c>
      <c r="AI35" s="231">
        <f>+Janvier!AK35</f>
        <v>13437.307692307693</v>
      </c>
      <c r="AJ35" s="231">
        <f>+Janvier!AL35</f>
        <v>10077.98076923077</v>
      </c>
      <c r="AK35" s="231">
        <f>+Janvier!AM35</f>
        <v>10077.98076923077</v>
      </c>
      <c r="AL35" s="231">
        <f>+Janvier!AN35</f>
        <v>6107.8671328671326</v>
      </c>
      <c r="AM35" s="231">
        <f>+Janvier!AO35</f>
        <v>3779.2427884615386</v>
      </c>
      <c r="AN35" s="231">
        <f>+Janvier!AP35</f>
        <v>7558.4855769230771</v>
      </c>
      <c r="AO35" s="231">
        <f>+Janvier!AQ35</f>
        <v>3779.2427884615386</v>
      </c>
      <c r="AP35" s="231">
        <f>+Janvier!AR35</f>
        <v>3779.2427884615386</v>
      </c>
      <c r="AQ35" s="231">
        <f>+Janvier!AS35</f>
        <v>6718.6538461538466</v>
      </c>
      <c r="AR35" s="16">
        <f t="shared" si="59"/>
        <v>5</v>
      </c>
      <c r="AS35" s="16">
        <f t="shared" si="60"/>
        <v>5</v>
      </c>
      <c r="AT35" s="16">
        <f t="shared" si="61"/>
        <v>4</v>
      </c>
      <c r="AU35" s="16">
        <f t="shared" si="62"/>
        <v>4</v>
      </c>
      <c r="AV35" s="16">
        <f t="shared" si="63"/>
        <v>5</v>
      </c>
      <c r="AW35" s="16">
        <f t="shared" si="64"/>
        <v>4</v>
      </c>
      <c r="AX35" s="16">
        <f t="shared" si="65"/>
        <v>5</v>
      </c>
      <c r="AY35" s="16">
        <f t="shared" si="66"/>
        <v>6</v>
      </c>
      <c r="AZ35" s="16">
        <f t="shared" si="67"/>
        <v>5</v>
      </c>
      <c r="BA35" s="17">
        <f t="shared" si="68"/>
        <v>5</v>
      </c>
    </row>
    <row r="36" spans="1:53" ht="15" thickBot="1" x14ac:dyDescent="0.35">
      <c r="A36" s="184" t="s">
        <v>40</v>
      </c>
      <c r="B36" s="160" t="s">
        <v>147</v>
      </c>
      <c r="C36" s="94">
        <v>44074</v>
      </c>
      <c r="D36" s="106">
        <v>4000</v>
      </c>
      <c r="E36" s="106">
        <v>3840</v>
      </c>
      <c r="F36" s="97">
        <v>0</v>
      </c>
      <c r="G36" s="116">
        <v>18300</v>
      </c>
      <c r="H36" s="106">
        <v>11360</v>
      </c>
      <c r="I36" s="97">
        <v>0</v>
      </c>
      <c r="J36" s="236">
        <v>12660</v>
      </c>
      <c r="K36" s="106">
        <v>8510</v>
      </c>
      <c r="L36" s="97">
        <v>0</v>
      </c>
      <c r="M36" s="106">
        <v>12300</v>
      </c>
      <c r="N36" s="106">
        <v>8620</v>
      </c>
      <c r="O36" s="97">
        <v>0</v>
      </c>
      <c r="P36" s="106">
        <v>8450</v>
      </c>
      <c r="Q36" s="106">
        <v>5500</v>
      </c>
      <c r="R36" s="97">
        <v>0</v>
      </c>
      <c r="S36" s="106">
        <v>4550</v>
      </c>
      <c r="T36" s="106">
        <v>2850</v>
      </c>
      <c r="U36" s="97">
        <v>0</v>
      </c>
      <c r="V36" s="106">
        <v>9900</v>
      </c>
      <c r="W36" s="106">
        <v>6830</v>
      </c>
      <c r="X36" s="97">
        <v>0</v>
      </c>
      <c r="Y36" s="106">
        <v>6040</v>
      </c>
      <c r="Z36" s="106">
        <v>3630</v>
      </c>
      <c r="AA36" s="100">
        <v>0</v>
      </c>
      <c r="AB36" s="106">
        <v>6500</v>
      </c>
      <c r="AC36" s="106">
        <v>3430</v>
      </c>
      <c r="AD36" s="97">
        <v>0</v>
      </c>
      <c r="AE36" s="106">
        <v>6980</v>
      </c>
      <c r="AF36" s="106">
        <v>5890</v>
      </c>
      <c r="AG36" s="105">
        <v>0</v>
      </c>
      <c r="AH36" s="231">
        <f>+Janvier!AJ36</f>
        <v>3701.7445054945065</v>
      </c>
      <c r="AI36" s="231">
        <f>+Janvier!AK36</f>
        <v>11516.538461538461</v>
      </c>
      <c r="AJ36" s="231">
        <f>+Janvier!AL36</f>
        <v>8637.4038461538476</v>
      </c>
      <c r="AK36" s="231">
        <f>+Janvier!AM36</f>
        <v>8637.4038461538476</v>
      </c>
      <c r="AL36" s="231">
        <f>+Janvier!AN36</f>
        <v>5234.7902097902097</v>
      </c>
      <c r="AM36" s="231">
        <f>+Janvier!AO36</f>
        <v>3239.0264423076924</v>
      </c>
      <c r="AN36" s="231">
        <f>+Janvier!AP36</f>
        <v>6478.0528846153848</v>
      </c>
      <c r="AO36" s="231">
        <f>+Janvier!AQ36</f>
        <v>3239.0264423076924</v>
      </c>
      <c r="AP36" s="231">
        <f>+Janvier!AR36</f>
        <v>3239.0264423076924</v>
      </c>
      <c r="AQ36" s="231">
        <f>+Janvier!AS36</f>
        <v>5758.2692307692305</v>
      </c>
      <c r="AR36" s="16">
        <f t="shared" si="59"/>
        <v>5</v>
      </c>
      <c r="AS36" s="16">
        <f t="shared" si="60"/>
        <v>5</v>
      </c>
      <c r="AT36" s="16">
        <f t="shared" si="61"/>
        <v>5</v>
      </c>
      <c r="AU36" s="16">
        <f t="shared" si="62"/>
        <v>5</v>
      </c>
      <c r="AV36" s="16">
        <f t="shared" si="63"/>
        <v>5</v>
      </c>
      <c r="AW36" s="16">
        <f t="shared" si="64"/>
        <v>4</v>
      </c>
      <c r="AX36" s="16">
        <f t="shared" si="65"/>
        <v>5</v>
      </c>
      <c r="AY36" s="16">
        <f t="shared" si="66"/>
        <v>6</v>
      </c>
      <c r="AZ36" s="16">
        <f t="shared" si="67"/>
        <v>5</v>
      </c>
      <c r="BA36" s="17">
        <f t="shared" si="68"/>
        <v>5</v>
      </c>
    </row>
    <row r="37" spans="1:53" ht="15" thickBot="1" x14ac:dyDescent="0.35">
      <c r="A37" s="184" t="s">
        <v>41</v>
      </c>
      <c r="B37" s="160" t="s">
        <v>147</v>
      </c>
      <c r="C37" s="94">
        <v>44074</v>
      </c>
      <c r="D37" s="106">
        <v>3500</v>
      </c>
      <c r="E37" s="106">
        <v>2460</v>
      </c>
      <c r="F37" s="97">
        <v>0</v>
      </c>
      <c r="G37" s="116">
        <v>7700</v>
      </c>
      <c r="H37" s="106">
        <v>6580</v>
      </c>
      <c r="I37" s="97">
        <v>0</v>
      </c>
      <c r="J37" s="236">
        <v>5390</v>
      </c>
      <c r="K37" s="106">
        <v>5210</v>
      </c>
      <c r="L37" s="97">
        <v>0</v>
      </c>
      <c r="M37" s="106">
        <v>5200</v>
      </c>
      <c r="N37" s="106">
        <v>4800</v>
      </c>
      <c r="O37" s="97">
        <v>0</v>
      </c>
      <c r="P37" s="106">
        <v>3600</v>
      </c>
      <c r="Q37" s="106">
        <v>3000</v>
      </c>
      <c r="R37" s="97">
        <v>0</v>
      </c>
      <c r="S37" s="106">
        <v>2700</v>
      </c>
      <c r="T37" s="106">
        <v>1610</v>
      </c>
      <c r="U37" s="97">
        <v>0</v>
      </c>
      <c r="V37" s="106">
        <v>4650</v>
      </c>
      <c r="W37" s="106">
        <v>3850</v>
      </c>
      <c r="X37" s="97">
        <v>0</v>
      </c>
      <c r="Y37" s="106">
        <v>2500</v>
      </c>
      <c r="Z37" s="106">
        <v>2330</v>
      </c>
      <c r="AA37" s="100">
        <v>0</v>
      </c>
      <c r="AB37" s="106">
        <v>2300</v>
      </c>
      <c r="AC37" s="106">
        <v>2200</v>
      </c>
      <c r="AD37" s="97">
        <v>0</v>
      </c>
      <c r="AE37" s="106">
        <v>3830</v>
      </c>
      <c r="AF37" s="106">
        <v>3570</v>
      </c>
      <c r="AG37" s="105">
        <v>0</v>
      </c>
      <c r="AH37" s="231">
        <f>+Janvier!AJ37</f>
        <v>2204.0109890109893</v>
      </c>
      <c r="AI37" s="231">
        <f>+Janvier!AK37</f>
        <v>6856.9230769230771</v>
      </c>
      <c r="AJ37" s="231">
        <f>+Janvier!AL37</f>
        <v>5142.6923076923085</v>
      </c>
      <c r="AK37" s="231">
        <f>+Janvier!AM37</f>
        <v>5142.6923076923085</v>
      </c>
      <c r="AL37" s="231">
        <f>+Janvier!AN37</f>
        <v>3116.7832167832171</v>
      </c>
      <c r="AM37" s="231">
        <f>+Janvier!AO37</f>
        <v>1928.5096153846155</v>
      </c>
      <c r="AN37" s="231">
        <f>+Janvier!AP37</f>
        <v>3857.0192307692309</v>
      </c>
      <c r="AO37" s="231">
        <f>+Janvier!AQ37</f>
        <v>1928.5096153846155</v>
      </c>
      <c r="AP37" s="231">
        <f>+Janvier!AR37</f>
        <v>1928.5096153846155</v>
      </c>
      <c r="AQ37" s="231">
        <f>+Janvier!AS37</f>
        <v>3428.4615384615386</v>
      </c>
      <c r="AR37" s="16">
        <f t="shared" si="59"/>
        <v>6</v>
      </c>
      <c r="AS37" s="16">
        <f t="shared" si="60"/>
        <v>5</v>
      </c>
      <c r="AT37" s="16">
        <f t="shared" si="61"/>
        <v>5</v>
      </c>
      <c r="AU37" s="16">
        <f t="shared" si="62"/>
        <v>5</v>
      </c>
      <c r="AV37" s="16">
        <f t="shared" si="63"/>
        <v>5</v>
      </c>
      <c r="AW37" s="16">
        <f t="shared" si="64"/>
        <v>4</v>
      </c>
      <c r="AX37" s="16">
        <f t="shared" si="65"/>
        <v>5</v>
      </c>
      <c r="AY37" s="16">
        <f t="shared" si="66"/>
        <v>6</v>
      </c>
      <c r="AZ37" s="16">
        <f t="shared" si="67"/>
        <v>6</v>
      </c>
      <c r="BA37" s="17">
        <f t="shared" si="68"/>
        <v>5</v>
      </c>
    </row>
    <row r="38" spans="1:53" ht="15" thickBot="1" x14ac:dyDescent="0.35">
      <c r="A38" s="184" t="s">
        <v>42</v>
      </c>
      <c r="B38" s="160" t="s">
        <v>147</v>
      </c>
      <c r="C38" s="94">
        <v>44074</v>
      </c>
      <c r="D38" s="106">
        <v>7600</v>
      </c>
      <c r="E38" s="106">
        <v>5600</v>
      </c>
      <c r="F38" s="97">
        <v>0</v>
      </c>
      <c r="G38" s="116">
        <v>16120</v>
      </c>
      <c r="H38" s="106">
        <v>15160</v>
      </c>
      <c r="I38" s="97">
        <v>0</v>
      </c>
      <c r="J38" s="236">
        <v>13120</v>
      </c>
      <c r="K38" s="106">
        <v>12220</v>
      </c>
      <c r="L38" s="97">
        <v>0</v>
      </c>
      <c r="M38" s="106">
        <v>13600</v>
      </c>
      <c r="N38" s="106">
        <v>13000</v>
      </c>
      <c r="O38" s="97">
        <v>0</v>
      </c>
      <c r="P38" s="106">
        <v>7900</v>
      </c>
      <c r="Q38" s="106">
        <v>7200</v>
      </c>
      <c r="R38" s="97">
        <v>0</v>
      </c>
      <c r="S38" s="106">
        <v>5050</v>
      </c>
      <c r="T38" s="106">
        <v>4990</v>
      </c>
      <c r="U38" s="97">
        <v>0</v>
      </c>
      <c r="V38" s="106">
        <v>9600</v>
      </c>
      <c r="W38" s="106">
        <v>9250</v>
      </c>
      <c r="X38" s="97">
        <v>0</v>
      </c>
      <c r="Y38" s="106">
        <v>7100</v>
      </c>
      <c r="Z38" s="106">
        <v>4740</v>
      </c>
      <c r="AA38" s="100">
        <v>0</v>
      </c>
      <c r="AB38" s="106">
        <v>6900</v>
      </c>
      <c r="AC38" s="106">
        <v>4440</v>
      </c>
      <c r="AD38" s="97">
        <v>0</v>
      </c>
      <c r="AE38" s="106">
        <v>7500</v>
      </c>
      <c r="AF38" s="106">
        <v>7150</v>
      </c>
      <c r="AG38" s="105">
        <v>0</v>
      </c>
      <c r="AH38" s="231">
        <f>+Janvier!AJ38</f>
        <v>4595.1923076923076</v>
      </c>
      <c r="AI38" s="231">
        <f>+Janvier!AK38</f>
        <v>14296.153846153846</v>
      </c>
      <c r="AJ38" s="231">
        <f>+Janvier!AL38</f>
        <v>10722.115384615387</v>
      </c>
      <c r="AK38" s="231">
        <f>+Janvier!AM38</f>
        <v>10722.115384615387</v>
      </c>
      <c r="AL38" s="231">
        <f>+Janvier!AN38</f>
        <v>6498.2517482517496</v>
      </c>
      <c r="AM38" s="231">
        <f>+Janvier!AO38</f>
        <v>4020.7932692307691</v>
      </c>
      <c r="AN38" s="231">
        <f>+Janvier!AP38</f>
        <v>8041.5865384615381</v>
      </c>
      <c r="AO38" s="231">
        <f>+Janvier!AQ38</f>
        <v>4020.7932692307691</v>
      </c>
      <c r="AP38" s="231">
        <f>+Janvier!AR38</f>
        <v>4020.7932692307691</v>
      </c>
      <c r="AQ38" s="231">
        <f>+Janvier!AS38</f>
        <v>7148.0769230769229</v>
      </c>
      <c r="AR38" s="16">
        <f t="shared" si="59"/>
        <v>6</v>
      </c>
      <c r="AS38" s="16">
        <f t="shared" si="60"/>
        <v>5</v>
      </c>
      <c r="AT38" s="16">
        <f t="shared" si="61"/>
        <v>6</v>
      </c>
      <c r="AU38" s="16">
        <f t="shared" si="62"/>
        <v>6</v>
      </c>
      <c r="AV38" s="16">
        <f t="shared" si="63"/>
        <v>6</v>
      </c>
      <c r="AW38" s="16">
        <f t="shared" si="64"/>
        <v>6</v>
      </c>
      <c r="AX38" s="16">
        <f t="shared" si="65"/>
        <v>6</v>
      </c>
      <c r="AY38" s="16">
        <f t="shared" si="66"/>
        <v>6</v>
      </c>
      <c r="AZ38" s="16">
        <f t="shared" si="67"/>
        <v>6</v>
      </c>
      <c r="BA38" s="17">
        <f t="shared" si="68"/>
        <v>5</v>
      </c>
    </row>
    <row r="39" spans="1:53" ht="15" thickBot="1" x14ac:dyDescent="0.35">
      <c r="A39" s="121" t="s">
        <v>43</v>
      </c>
      <c r="B39" s="160" t="s">
        <v>147</v>
      </c>
      <c r="C39" s="143">
        <v>44074</v>
      </c>
      <c r="D39" s="145">
        <v>5200</v>
      </c>
      <c r="E39" s="145">
        <v>4320</v>
      </c>
      <c r="F39" s="110">
        <v>0</v>
      </c>
      <c r="G39" s="147">
        <v>12120</v>
      </c>
      <c r="H39" s="145">
        <v>13000</v>
      </c>
      <c r="I39" s="110">
        <v>0</v>
      </c>
      <c r="J39" s="238">
        <v>10500</v>
      </c>
      <c r="K39" s="145">
        <v>9800</v>
      </c>
      <c r="L39" s="110">
        <v>0</v>
      </c>
      <c r="M39" s="145">
        <v>10000</v>
      </c>
      <c r="N39" s="145">
        <v>9800</v>
      </c>
      <c r="O39" s="110">
        <v>0</v>
      </c>
      <c r="P39" s="145">
        <v>6750</v>
      </c>
      <c r="Q39" s="145">
        <v>6300</v>
      </c>
      <c r="R39" s="110">
        <v>0</v>
      </c>
      <c r="S39" s="145">
        <v>4200</v>
      </c>
      <c r="T39" s="145">
        <v>3440</v>
      </c>
      <c r="U39" s="110">
        <v>0</v>
      </c>
      <c r="V39" s="145">
        <v>8000</v>
      </c>
      <c r="W39" s="145">
        <v>7820</v>
      </c>
      <c r="X39" s="110">
        <v>0</v>
      </c>
      <c r="Y39" s="145">
        <v>5500</v>
      </c>
      <c r="Z39" s="145">
        <v>4020</v>
      </c>
      <c r="AA39" s="162">
        <v>0</v>
      </c>
      <c r="AB39" s="145">
        <v>4750</v>
      </c>
      <c r="AC39" s="145">
        <v>4020</v>
      </c>
      <c r="AD39" s="110">
        <v>0</v>
      </c>
      <c r="AE39" s="145">
        <v>7000</v>
      </c>
      <c r="AF39" s="145">
        <v>6800</v>
      </c>
      <c r="AG39" s="112">
        <v>0</v>
      </c>
      <c r="AH39" s="231">
        <f>+Janvier!AJ39</f>
        <v>4254.2307692307695</v>
      </c>
      <c r="AI39" s="231">
        <f>+Janvier!AK39</f>
        <v>13235.384615384613</v>
      </c>
      <c r="AJ39" s="231">
        <f>+Janvier!AL39</f>
        <v>9926.538461538461</v>
      </c>
      <c r="AK39" s="231">
        <f>+Janvier!AM39</f>
        <v>9926.538461538461</v>
      </c>
      <c r="AL39" s="231">
        <f>+Janvier!AN39</f>
        <v>6016.0839160839159</v>
      </c>
      <c r="AM39" s="231">
        <f>+Janvier!AO39</f>
        <v>3722.4519230769233</v>
      </c>
      <c r="AN39" s="231">
        <f>+Janvier!AP39</f>
        <v>7444.9038461538466</v>
      </c>
      <c r="AO39" s="231">
        <f>+Janvier!AQ39</f>
        <v>3722.4519230769233</v>
      </c>
      <c r="AP39" s="231">
        <f>+Janvier!AR39</f>
        <v>3722.4519230769233</v>
      </c>
      <c r="AQ39" s="231">
        <f>+Janvier!AS39</f>
        <v>6617.6923076923067</v>
      </c>
      <c r="AR39" s="32">
        <f t="shared" si="59"/>
        <v>5</v>
      </c>
      <c r="AS39" s="32">
        <f t="shared" si="60"/>
        <v>5</v>
      </c>
      <c r="AT39" s="32">
        <f t="shared" si="61"/>
        <v>5</v>
      </c>
      <c r="AU39" s="32">
        <f t="shared" si="62"/>
        <v>5</v>
      </c>
      <c r="AV39" s="32">
        <f t="shared" si="63"/>
        <v>5</v>
      </c>
      <c r="AW39" s="32">
        <f t="shared" si="64"/>
        <v>5</v>
      </c>
      <c r="AX39" s="32">
        <f t="shared" si="65"/>
        <v>5</v>
      </c>
      <c r="AY39" s="32">
        <f t="shared" si="66"/>
        <v>5</v>
      </c>
      <c r="AZ39" s="32">
        <f t="shared" si="67"/>
        <v>5</v>
      </c>
      <c r="BA39" s="33">
        <f t="shared" si="68"/>
        <v>5</v>
      </c>
    </row>
    <row r="40" spans="1:53" ht="15.6" x14ac:dyDescent="0.3">
      <c r="A40" s="198" t="s">
        <v>88</v>
      </c>
      <c r="B40" s="160">
        <v>44044</v>
      </c>
      <c r="C40" s="160">
        <v>44074</v>
      </c>
      <c r="D40" s="122">
        <v>0</v>
      </c>
      <c r="E40" s="123">
        <v>61000</v>
      </c>
      <c r="F40" s="124">
        <v>34</v>
      </c>
      <c r="G40" s="125">
        <v>0</v>
      </c>
      <c r="H40" s="123">
        <v>184640</v>
      </c>
      <c r="I40" s="126">
        <v>0</v>
      </c>
      <c r="J40" s="125">
        <v>0</v>
      </c>
      <c r="K40" s="123">
        <v>139170</v>
      </c>
      <c r="L40" s="124">
        <v>0</v>
      </c>
      <c r="M40" s="125">
        <v>0</v>
      </c>
      <c r="N40" s="123">
        <v>139460</v>
      </c>
      <c r="O40" s="124">
        <v>0</v>
      </c>
      <c r="P40" s="125">
        <v>0</v>
      </c>
      <c r="Q40" s="123">
        <v>83900</v>
      </c>
      <c r="R40" s="124">
        <v>0</v>
      </c>
      <c r="S40" s="125">
        <v>0</v>
      </c>
      <c r="T40" s="123">
        <v>51985</v>
      </c>
      <c r="U40" s="124">
        <v>0</v>
      </c>
      <c r="V40" s="125">
        <v>0</v>
      </c>
      <c r="W40" s="123">
        <v>104100</v>
      </c>
      <c r="X40" s="124">
        <v>0</v>
      </c>
      <c r="Y40" s="125">
        <v>0</v>
      </c>
      <c r="Z40" s="123">
        <v>52150</v>
      </c>
      <c r="AA40" s="124">
        <v>0</v>
      </c>
      <c r="AB40" s="125">
        <v>0</v>
      </c>
      <c r="AC40" s="123">
        <v>15450</v>
      </c>
      <c r="AD40" s="124">
        <v>0</v>
      </c>
      <c r="AE40" s="125">
        <v>0</v>
      </c>
      <c r="AF40" s="123">
        <v>93070</v>
      </c>
      <c r="AG40" s="126">
        <v>0</v>
      </c>
      <c r="AH40" s="231">
        <f>+Janvier!AJ40</f>
        <v>69601.949999999983</v>
      </c>
      <c r="AI40" s="231">
        <f>+Janvier!AK40</f>
        <v>241304.71153846153</v>
      </c>
      <c r="AJ40" s="231">
        <f>+Janvier!AL40</f>
        <v>160708.93788461541</v>
      </c>
      <c r="AK40" s="231">
        <f>+Janvier!AM40</f>
        <v>160708.93788461541</v>
      </c>
      <c r="AL40" s="231">
        <f>+Janvier!AN40</f>
        <v>101347.97884615386</v>
      </c>
      <c r="AM40" s="231">
        <f>+Janvier!AO40</f>
        <v>60326.177884615383</v>
      </c>
      <c r="AN40" s="231">
        <f>+Janvier!AP40</f>
        <v>120652.35576923077</v>
      </c>
      <c r="AO40" s="231">
        <f>+Janvier!AQ40</f>
        <v>60326.177884615383</v>
      </c>
      <c r="AP40" s="231">
        <f>+Janvier!AR40</f>
        <v>60326.177884615383</v>
      </c>
      <c r="AQ40" s="231">
        <f>+Janvier!AS40</f>
        <v>108053.37692307694</v>
      </c>
      <c r="AR40" s="16">
        <f>ROUND(E40/(AH40/15),0)</f>
        <v>13</v>
      </c>
      <c r="AS40" s="16">
        <f t="shared" ref="AS40" si="69">ROUND(H40/(AI40/15),0)</f>
        <v>11</v>
      </c>
      <c r="AT40" s="16">
        <f t="shared" ref="AT40" si="70">ROUND(K40/(AJ40/15),0)</f>
        <v>13</v>
      </c>
      <c r="AU40" s="16">
        <f t="shared" ref="AU40" si="71">ROUND(N40/(AK40/15),0)</f>
        <v>13</v>
      </c>
      <c r="AV40" s="16">
        <f t="shared" ref="AV40" si="72">ROUND(Q40/(AL40/15),0)</f>
        <v>12</v>
      </c>
      <c r="AW40" s="16">
        <f t="shared" ref="AW40" si="73">ROUND(T40/(AM40/15),0)</f>
        <v>13</v>
      </c>
      <c r="AX40" s="16">
        <f t="shared" ref="AX40" si="74">ROUND(W40/(AN40/15),0)</f>
        <v>13</v>
      </c>
      <c r="AY40" s="16">
        <f t="shared" ref="AY40" si="75">ROUND(Z40/(AO40/15),0)</f>
        <v>13</v>
      </c>
      <c r="AZ40" s="16">
        <f t="shared" ref="AZ40" si="76">ROUND(AC40/(AP40/15),0)</f>
        <v>4</v>
      </c>
      <c r="BA40" s="17">
        <f t="shared" ref="BA40" si="77">ROUND(AF40/(AQ40/15),0)</f>
        <v>13</v>
      </c>
    </row>
    <row r="41" spans="1:53" ht="15.6" x14ac:dyDescent="0.3">
      <c r="A41" s="199" t="s">
        <v>44</v>
      </c>
      <c r="B41" s="94">
        <v>44044</v>
      </c>
      <c r="C41" s="94">
        <v>44074</v>
      </c>
      <c r="D41" s="107">
        <v>0</v>
      </c>
      <c r="E41" s="96">
        <v>100</v>
      </c>
      <c r="F41" s="97">
        <v>0</v>
      </c>
      <c r="G41" s="95">
        <v>0</v>
      </c>
      <c r="H41" s="96">
        <v>2140</v>
      </c>
      <c r="I41" s="105">
        <v>0</v>
      </c>
      <c r="J41" s="95">
        <v>0</v>
      </c>
      <c r="K41" s="96">
        <v>1180</v>
      </c>
      <c r="L41" s="97">
        <v>0</v>
      </c>
      <c r="M41" s="95">
        <v>0</v>
      </c>
      <c r="N41" s="96">
        <v>1224</v>
      </c>
      <c r="O41" s="97">
        <v>0</v>
      </c>
      <c r="P41" s="95">
        <v>0</v>
      </c>
      <c r="Q41" s="96">
        <v>664</v>
      </c>
      <c r="R41" s="97">
        <v>0</v>
      </c>
      <c r="S41" s="95">
        <v>0</v>
      </c>
      <c r="T41" s="96">
        <v>405</v>
      </c>
      <c r="U41" s="97">
        <v>0</v>
      </c>
      <c r="V41" s="95">
        <v>0</v>
      </c>
      <c r="W41" s="96">
        <v>1210</v>
      </c>
      <c r="X41" s="97">
        <v>0</v>
      </c>
      <c r="Y41" s="95">
        <v>0</v>
      </c>
      <c r="Z41" s="96">
        <v>450</v>
      </c>
      <c r="AA41" s="97">
        <v>0</v>
      </c>
      <c r="AB41" s="95">
        <v>0</v>
      </c>
      <c r="AC41" s="96">
        <v>550</v>
      </c>
      <c r="AD41" s="97">
        <v>0</v>
      </c>
      <c r="AE41" s="95">
        <v>0</v>
      </c>
      <c r="AF41" s="96">
        <v>690</v>
      </c>
      <c r="AG41" s="105">
        <v>0</v>
      </c>
      <c r="AH41" s="231">
        <f>+Janvier!AJ41</f>
        <v>1769.7115384615383</v>
      </c>
      <c r="AI41" s="231">
        <f>+Janvier!AK41</f>
        <v>5505.7692307692305</v>
      </c>
      <c r="AJ41" s="231">
        <f>+Janvier!AL41</f>
        <v>4129.3269230769229</v>
      </c>
      <c r="AK41" s="231">
        <f>+Janvier!AM41</f>
        <v>4129.3269230769229</v>
      </c>
      <c r="AL41" s="231">
        <f>+Janvier!AN41</f>
        <v>2502.6223776223778</v>
      </c>
      <c r="AM41" s="231">
        <f>+Janvier!AO41</f>
        <v>1548.4975961538462</v>
      </c>
      <c r="AN41" s="231">
        <f>+Janvier!AP41</f>
        <v>3096.9951923076924</v>
      </c>
      <c r="AO41" s="231">
        <f>+Janvier!AQ41</f>
        <v>1548.4975961538462</v>
      </c>
      <c r="AP41" s="231">
        <f>+Janvier!AR41</f>
        <v>1548.4975961538462</v>
      </c>
      <c r="AQ41" s="231">
        <f>+Janvier!AS41</f>
        <v>2752.8846153846152</v>
      </c>
      <c r="AR41" s="16">
        <f t="shared" ref="AR41:AR53" si="78">ROUND(E41/(AH41/5),0)</f>
        <v>0</v>
      </c>
      <c r="AS41" s="16">
        <f t="shared" ref="AS41:AS53" si="79">ROUND(H41/(AI41/5),0)</f>
        <v>2</v>
      </c>
      <c r="AT41" s="16">
        <f t="shared" ref="AT41:AT53" si="80">ROUND(K41/(AJ41/5),0)</f>
        <v>1</v>
      </c>
      <c r="AU41" s="16">
        <f t="shared" ref="AU41:AU53" si="81">ROUND(N41/(AK41/5),0)</f>
        <v>1</v>
      </c>
      <c r="AV41" s="16">
        <f t="shared" ref="AV41:AV53" si="82">ROUND(Q41/(AL41/5),0)</f>
        <v>1</v>
      </c>
      <c r="AW41" s="16">
        <f t="shared" ref="AW41:AW53" si="83">ROUND(T41/(AM41/5),0)</f>
        <v>1</v>
      </c>
      <c r="AX41" s="16">
        <f t="shared" ref="AX41:AX53" si="84">ROUND(W41/(AN41/5),0)</f>
        <v>2</v>
      </c>
      <c r="AY41" s="16">
        <f t="shared" ref="AY41:AY53" si="85">ROUND(Z41/(AO41/5),0)</f>
        <v>1</v>
      </c>
      <c r="AZ41" s="16">
        <f t="shared" ref="AZ41:AZ53" si="86">ROUND(AC41/(AP41/5),0)</f>
        <v>2</v>
      </c>
      <c r="BA41" s="17">
        <f t="shared" ref="BA41:BA53" si="87">ROUND(AF41/(AQ41/5),0)</f>
        <v>1</v>
      </c>
    </row>
    <row r="42" spans="1:53" ht="15.6" x14ac:dyDescent="0.3">
      <c r="A42" s="199" t="s">
        <v>45</v>
      </c>
      <c r="B42" s="94">
        <v>44044</v>
      </c>
      <c r="C42" s="94">
        <v>44074</v>
      </c>
      <c r="D42" s="107">
        <v>0</v>
      </c>
      <c r="E42" s="96">
        <v>80</v>
      </c>
      <c r="F42" s="97">
        <v>0</v>
      </c>
      <c r="G42" s="95">
        <v>0</v>
      </c>
      <c r="H42" s="96">
        <v>340</v>
      </c>
      <c r="I42" s="105">
        <v>0</v>
      </c>
      <c r="J42" s="95">
        <v>0</v>
      </c>
      <c r="K42" s="96">
        <v>230</v>
      </c>
      <c r="L42" s="97">
        <v>0</v>
      </c>
      <c r="M42" s="95">
        <v>0</v>
      </c>
      <c r="N42" s="96">
        <v>192</v>
      </c>
      <c r="O42" s="97">
        <v>0</v>
      </c>
      <c r="P42" s="95">
        <v>0</v>
      </c>
      <c r="Q42" s="96">
        <v>180</v>
      </c>
      <c r="R42" s="97">
        <v>0</v>
      </c>
      <c r="S42" s="95">
        <v>0</v>
      </c>
      <c r="T42" s="96">
        <v>105</v>
      </c>
      <c r="U42" s="97">
        <v>0</v>
      </c>
      <c r="V42" s="95">
        <v>0</v>
      </c>
      <c r="W42" s="96">
        <v>250</v>
      </c>
      <c r="X42" s="97">
        <v>0</v>
      </c>
      <c r="Y42" s="95">
        <v>0</v>
      </c>
      <c r="Z42" s="96">
        <v>100</v>
      </c>
      <c r="AA42" s="97">
        <v>0</v>
      </c>
      <c r="AB42" s="95">
        <v>0</v>
      </c>
      <c r="AC42" s="96">
        <v>100</v>
      </c>
      <c r="AD42" s="97">
        <v>0</v>
      </c>
      <c r="AE42" s="95">
        <v>0</v>
      </c>
      <c r="AF42" s="96">
        <v>250</v>
      </c>
      <c r="AG42" s="105">
        <v>0</v>
      </c>
      <c r="AH42" s="231">
        <f>+Janvier!AJ42</f>
        <v>499.20329670329681</v>
      </c>
      <c r="AI42" s="231">
        <f>+Janvier!AK42</f>
        <v>1553.0769230769233</v>
      </c>
      <c r="AJ42" s="231">
        <f>+Janvier!AL42</f>
        <v>1164.8076923076926</v>
      </c>
      <c r="AK42" s="231">
        <f>+Janvier!AM42</f>
        <v>1164.8076923076926</v>
      </c>
      <c r="AL42" s="231">
        <f>+Janvier!AN42</f>
        <v>705.944055944056</v>
      </c>
      <c r="AM42" s="231">
        <f>+Janvier!AO42</f>
        <v>436.80288461538458</v>
      </c>
      <c r="AN42" s="231">
        <f>+Janvier!AP42</f>
        <v>873.60576923076917</v>
      </c>
      <c r="AO42" s="231">
        <f>+Janvier!AQ42</f>
        <v>436.80288461538458</v>
      </c>
      <c r="AP42" s="231">
        <f>+Janvier!AR42</f>
        <v>436.80288461538458</v>
      </c>
      <c r="AQ42" s="231">
        <f>+Janvier!AS42</f>
        <v>776.53846153846166</v>
      </c>
      <c r="AR42" s="16">
        <f t="shared" si="78"/>
        <v>1</v>
      </c>
      <c r="AS42" s="16">
        <f t="shared" si="79"/>
        <v>1</v>
      </c>
      <c r="AT42" s="16">
        <f t="shared" si="80"/>
        <v>1</v>
      </c>
      <c r="AU42" s="16">
        <f t="shared" si="81"/>
        <v>1</v>
      </c>
      <c r="AV42" s="16">
        <f t="shared" si="82"/>
        <v>1</v>
      </c>
      <c r="AW42" s="16">
        <f t="shared" si="83"/>
        <v>1</v>
      </c>
      <c r="AX42" s="16">
        <f t="shared" si="84"/>
        <v>1</v>
      </c>
      <c r="AY42" s="16">
        <f t="shared" si="85"/>
        <v>1</v>
      </c>
      <c r="AZ42" s="16">
        <f t="shared" si="86"/>
        <v>1</v>
      </c>
      <c r="BA42" s="17">
        <f t="shared" si="87"/>
        <v>2</v>
      </c>
    </row>
    <row r="43" spans="1:53" ht="15.6" x14ac:dyDescent="0.3">
      <c r="A43" s="199" t="s">
        <v>46</v>
      </c>
      <c r="B43" s="94">
        <v>44044</v>
      </c>
      <c r="C43" s="94">
        <v>44074</v>
      </c>
      <c r="D43" s="107">
        <v>0</v>
      </c>
      <c r="E43" s="96">
        <v>0</v>
      </c>
      <c r="F43" s="97">
        <v>18</v>
      </c>
      <c r="G43" s="95">
        <v>0</v>
      </c>
      <c r="H43" s="96">
        <v>2000</v>
      </c>
      <c r="I43" s="105">
        <v>0</v>
      </c>
      <c r="J43" s="95">
        <v>0</v>
      </c>
      <c r="K43" s="96">
        <v>950</v>
      </c>
      <c r="L43" s="97">
        <v>0</v>
      </c>
      <c r="M43" s="95">
        <v>0</v>
      </c>
      <c r="N43" s="96">
        <v>1280</v>
      </c>
      <c r="O43" s="97">
        <v>0</v>
      </c>
      <c r="P43" s="95">
        <v>0</v>
      </c>
      <c r="Q43" s="96">
        <v>655</v>
      </c>
      <c r="R43" s="97">
        <v>0</v>
      </c>
      <c r="S43" s="95">
        <v>0</v>
      </c>
      <c r="T43" s="96">
        <v>310</v>
      </c>
      <c r="U43" s="97">
        <v>0</v>
      </c>
      <c r="V43" s="95">
        <v>0</v>
      </c>
      <c r="W43" s="96">
        <v>1060</v>
      </c>
      <c r="X43" s="97">
        <v>0</v>
      </c>
      <c r="Y43" s="95">
        <v>0</v>
      </c>
      <c r="Z43" s="96">
        <v>320</v>
      </c>
      <c r="AA43" s="97">
        <v>0</v>
      </c>
      <c r="AB43" s="95">
        <v>0</v>
      </c>
      <c r="AC43" s="96">
        <v>360</v>
      </c>
      <c r="AD43" s="97">
        <v>0</v>
      </c>
      <c r="AE43" s="95">
        <v>0</v>
      </c>
      <c r="AF43" s="96">
        <v>540</v>
      </c>
      <c r="AG43" s="105">
        <v>0</v>
      </c>
      <c r="AH43" s="231">
        <f>+Janvier!AJ43</f>
        <v>3075.0824175824173</v>
      </c>
      <c r="AI43" s="231">
        <f>+Janvier!AK43</f>
        <v>9566.923076923078</v>
      </c>
      <c r="AJ43" s="231">
        <f>+Janvier!AL43</f>
        <v>7175.1923076923067</v>
      </c>
      <c r="AK43" s="231">
        <f>+Janvier!AM43</f>
        <v>7175.1923076923067</v>
      </c>
      <c r="AL43" s="231">
        <f>+Janvier!AN43</f>
        <v>4348.6013986013986</v>
      </c>
      <c r="AM43" s="231">
        <f>+Janvier!AO43</f>
        <v>2690.6971153846152</v>
      </c>
      <c r="AN43" s="231">
        <f>+Janvier!AP43</f>
        <v>5381.3942307692305</v>
      </c>
      <c r="AO43" s="231">
        <f>+Janvier!AQ43</f>
        <v>2690.6971153846152</v>
      </c>
      <c r="AP43" s="231">
        <f>+Janvier!AR43</f>
        <v>2690.6971153846152</v>
      </c>
      <c r="AQ43" s="231">
        <f>+Janvier!AS43</f>
        <v>4783.461538461539</v>
      </c>
      <c r="AR43" s="16">
        <f t="shared" si="78"/>
        <v>0</v>
      </c>
      <c r="AS43" s="16">
        <f t="shared" si="79"/>
        <v>1</v>
      </c>
      <c r="AT43" s="16">
        <f t="shared" si="80"/>
        <v>1</v>
      </c>
      <c r="AU43" s="16">
        <f t="shared" si="81"/>
        <v>1</v>
      </c>
      <c r="AV43" s="16">
        <f t="shared" si="82"/>
        <v>1</v>
      </c>
      <c r="AW43" s="16">
        <f t="shared" si="83"/>
        <v>1</v>
      </c>
      <c r="AX43" s="16">
        <f t="shared" si="84"/>
        <v>1</v>
      </c>
      <c r="AY43" s="16">
        <f t="shared" si="85"/>
        <v>1</v>
      </c>
      <c r="AZ43" s="16">
        <f t="shared" si="86"/>
        <v>1</v>
      </c>
      <c r="BA43" s="17">
        <f t="shared" si="87"/>
        <v>1</v>
      </c>
    </row>
    <row r="44" spans="1:53" ht="15.6" x14ac:dyDescent="0.3">
      <c r="A44" s="199" t="s">
        <v>47</v>
      </c>
      <c r="B44" s="94">
        <v>44044</v>
      </c>
      <c r="C44" s="94">
        <v>44074</v>
      </c>
      <c r="D44" s="107">
        <v>0</v>
      </c>
      <c r="E44" s="96">
        <v>260</v>
      </c>
      <c r="F44" s="97">
        <v>0</v>
      </c>
      <c r="G44" s="95">
        <v>0</v>
      </c>
      <c r="H44" s="96">
        <v>1900</v>
      </c>
      <c r="I44" s="105">
        <v>0</v>
      </c>
      <c r="J44" s="95">
        <v>0</v>
      </c>
      <c r="K44" s="96">
        <v>770</v>
      </c>
      <c r="L44" s="97">
        <v>0</v>
      </c>
      <c r="M44" s="95">
        <v>0</v>
      </c>
      <c r="N44" s="96">
        <v>948</v>
      </c>
      <c r="O44" s="97">
        <v>0</v>
      </c>
      <c r="P44" s="95">
        <v>0</v>
      </c>
      <c r="Q44" s="96">
        <v>351</v>
      </c>
      <c r="R44" s="97">
        <v>0</v>
      </c>
      <c r="S44" s="95">
        <v>0</v>
      </c>
      <c r="T44" s="96">
        <v>240</v>
      </c>
      <c r="U44" s="97">
        <v>0</v>
      </c>
      <c r="V44" s="95">
        <v>0</v>
      </c>
      <c r="W44" s="96">
        <v>1440</v>
      </c>
      <c r="X44" s="97">
        <v>0</v>
      </c>
      <c r="Y44" s="95">
        <v>0</v>
      </c>
      <c r="Z44" s="96">
        <v>360</v>
      </c>
      <c r="AA44" s="97">
        <v>0</v>
      </c>
      <c r="AB44" s="95">
        <v>0</v>
      </c>
      <c r="AC44" s="96">
        <v>230</v>
      </c>
      <c r="AD44" s="97">
        <v>0</v>
      </c>
      <c r="AE44" s="95">
        <v>0</v>
      </c>
      <c r="AF44" s="96">
        <v>1000</v>
      </c>
      <c r="AG44" s="105">
        <v>0</v>
      </c>
      <c r="AH44" s="231">
        <f>+Janvier!AJ44</f>
        <v>2324.2994505494512</v>
      </c>
      <c r="AI44" s="231">
        <f>+Janvier!AK44</f>
        <v>7231.1538461538476</v>
      </c>
      <c r="AJ44" s="231">
        <f>+Janvier!AL44</f>
        <v>5423.3653846153857</v>
      </c>
      <c r="AK44" s="231">
        <f>+Janvier!AM44</f>
        <v>5423.3653846153857</v>
      </c>
      <c r="AL44" s="231">
        <f>+Janvier!AN44</f>
        <v>3286.8881118881118</v>
      </c>
      <c r="AM44" s="231">
        <f>+Janvier!AO44</f>
        <v>2033.7620192307693</v>
      </c>
      <c r="AN44" s="231">
        <f>+Janvier!AP44</f>
        <v>4067.5240384615386</v>
      </c>
      <c r="AO44" s="231">
        <f>+Janvier!AQ44</f>
        <v>2033.7620192307693</v>
      </c>
      <c r="AP44" s="231">
        <f>+Janvier!AR44</f>
        <v>2033.7620192307693</v>
      </c>
      <c r="AQ44" s="231">
        <f>+Janvier!AS44</f>
        <v>3615.5769230769238</v>
      </c>
      <c r="AR44" s="16">
        <f t="shared" si="78"/>
        <v>1</v>
      </c>
      <c r="AS44" s="16">
        <f t="shared" si="79"/>
        <v>1</v>
      </c>
      <c r="AT44" s="16">
        <f t="shared" si="80"/>
        <v>1</v>
      </c>
      <c r="AU44" s="16">
        <f t="shared" si="81"/>
        <v>1</v>
      </c>
      <c r="AV44" s="16">
        <f t="shared" si="82"/>
        <v>1</v>
      </c>
      <c r="AW44" s="16">
        <f t="shared" si="83"/>
        <v>1</v>
      </c>
      <c r="AX44" s="16">
        <f t="shared" si="84"/>
        <v>2</v>
      </c>
      <c r="AY44" s="16">
        <f t="shared" si="85"/>
        <v>1</v>
      </c>
      <c r="AZ44" s="16">
        <f t="shared" si="86"/>
        <v>1</v>
      </c>
      <c r="BA44" s="17">
        <f t="shared" si="87"/>
        <v>1</v>
      </c>
    </row>
    <row r="45" spans="1:53" ht="15.6" x14ac:dyDescent="0.3">
      <c r="A45" s="199" t="s">
        <v>48</v>
      </c>
      <c r="B45" s="94">
        <v>44044</v>
      </c>
      <c r="C45" s="94">
        <v>44074</v>
      </c>
      <c r="D45" s="107">
        <v>0</v>
      </c>
      <c r="E45" s="96">
        <v>440</v>
      </c>
      <c r="F45" s="97">
        <v>0</v>
      </c>
      <c r="G45" s="95">
        <v>0</v>
      </c>
      <c r="H45" s="96">
        <v>1180</v>
      </c>
      <c r="I45" s="105">
        <v>0</v>
      </c>
      <c r="J45" s="95">
        <v>0</v>
      </c>
      <c r="K45" s="96">
        <v>610</v>
      </c>
      <c r="L45" s="97">
        <v>0</v>
      </c>
      <c r="M45" s="95">
        <v>0</v>
      </c>
      <c r="N45" s="96">
        <v>720</v>
      </c>
      <c r="O45" s="97">
        <v>0</v>
      </c>
      <c r="P45" s="95">
        <v>0</v>
      </c>
      <c r="Q45" s="96">
        <v>375</v>
      </c>
      <c r="R45" s="97">
        <v>0</v>
      </c>
      <c r="S45" s="95">
        <v>0</v>
      </c>
      <c r="T45" s="96">
        <v>255</v>
      </c>
      <c r="U45" s="97">
        <v>0</v>
      </c>
      <c r="V45" s="95">
        <v>0</v>
      </c>
      <c r="W45" s="96">
        <v>1210</v>
      </c>
      <c r="X45" s="97">
        <v>0</v>
      </c>
      <c r="Y45" s="95">
        <v>0</v>
      </c>
      <c r="Z45" s="96">
        <v>340</v>
      </c>
      <c r="AA45" s="97">
        <v>0</v>
      </c>
      <c r="AB45" s="95">
        <v>0</v>
      </c>
      <c r="AC45" s="96">
        <v>320</v>
      </c>
      <c r="AD45" s="97">
        <v>0</v>
      </c>
      <c r="AE45" s="95">
        <v>0</v>
      </c>
      <c r="AF45" s="96">
        <v>1110</v>
      </c>
      <c r="AG45" s="105">
        <v>0</v>
      </c>
      <c r="AH45" s="231">
        <f>+Janvier!AJ45</f>
        <v>2327.5137362637361</v>
      </c>
      <c r="AI45" s="231">
        <f>+Janvier!AK45</f>
        <v>7241.1538461538466</v>
      </c>
      <c r="AJ45" s="231">
        <f>+Janvier!AL45</f>
        <v>5430.8653846153829</v>
      </c>
      <c r="AK45" s="231">
        <f>+Janvier!AM45</f>
        <v>5430.8653846153829</v>
      </c>
      <c r="AL45" s="231">
        <f>+Janvier!AN45</f>
        <v>3291.4335664335663</v>
      </c>
      <c r="AM45" s="231">
        <f>+Janvier!AO45</f>
        <v>2036.5745192307693</v>
      </c>
      <c r="AN45" s="231">
        <f>+Janvier!AP45</f>
        <v>4073.1490384615386</v>
      </c>
      <c r="AO45" s="231">
        <f>+Janvier!AQ45</f>
        <v>2036.5745192307693</v>
      </c>
      <c r="AP45" s="231">
        <f>+Janvier!AR45</f>
        <v>2036.5745192307693</v>
      </c>
      <c r="AQ45" s="231">
        <f>+Janvier!AS45</f>
        <v>3620.5769230769233</v>
      </c>
      <c r="AR45" s="16">
        <f t="shared" si="78"/>
        <v>1</v>
      </c>
      <c r="AS45" s="16">
        <f t="shared" si="79"/>
        <v>1</v>
      </c>
      <c r="AT45" s="16">
        <f t="shared" si="80"/>
        <v>1</v>
      </c>
      <c r="AU45" s="16">
        <f t="shared" si="81"/>
        <v>1</v>
      </c>
      <c r="AV45" s="16">
        <f t="shared" si="82"/>
        <v>1</v>
      </c>
      <c r="AW45" s="16">
        <f t="shared" si="83"/>
        <v>1</v>
      </c>
      <c r="AX45" s="16">
        <f t="shared" si="84"/>
        <v>1</v>
      </c>
      <c r="AY45" s="16">
        <f t="shared" si="85"/>
        <v>1</v>
      </c>
      <c r="AZ45" s="16">
        <f t="shared" si="86"/>
        <v>1</v>
      </c>
      <c r="BA45" s="17">
        <f t="shared" si="87"/>
        <v>2</v>
      </c>
    </row>
    <row r="46" spans="1:53" ht="15.6" x14ac:dyDescent="0.3">
      <c r="A46" s="199" t="s">
        <v>49</v>
      </c>
      <c r="B46" s="94">
        <v>44044</v>
      </c>
      <c r="C46" s="94">
        <v>44074</v>
      </c>
      <c r="D46" s="107">
        <v>0</v>
      </c>
      <c r="E46" s="96">
        <v>560</v>
      </c>
      <c r="F46" s="97">
        <v>0</v>
      </c>
      <c r="G46" s="95">
        <v>0</v>
      </c>
      <c r="H46" s="96">
        <v>1840</v>
      </c>
      <c r="I46" s="105">
        <v>0</v>
      </c>
      <c r="J46" s="95">
        <v>0</v>
      </c>
      <c r="K46" s="96">
        <v>970</v>
      </c>
      <c r="L46" s="97">
        <v>0</v>
      </c>
      <c r="M46" s="95">
        <v>0</v>
      </c>
      <c r="N46" s="96">
        <v>620</v>
      </c>
      <c r="O46" s="97">
        <v>0</v>
      </c>
      <c r="P46" s="95">
        <v>0</v>
      </c>
      <c r="Q46" s="96">
        <v>500</v>
      </c>
      <c r="R46" s="97">
        <v>0</v>
      </c>
      <c r="S46" s="95">
        <v>0</v>
      </c>
      <c r="T46" s="96">
        <v>640</v>
      </c>
      <c r="U46" s="97">
        <v>0</v>
      </c>
      <c r="V46" s="95">
        <v>0</v>
      </c>
      <c r="W46" s="96">
        <v>1830</v>
      </c>
      <c r="X46" s="97">
        <v>0</v>
      </c>
      <c r="Y46" s="95">
        <v>0</v>
      </c>
      <c r="Z46" s="96">
        <v>610</v>
      </c>
      <c r="AA46" s="97">
        <v>0</v>
      </c>
      <c r="AB46" s="95">
        <v>0</v>
      </c>
      <c r="AC46" s="96">
        <v>610</v>
      </c>
      <c r="AD46" s="97">
        <v>0</v>
      </c>
      <c r="AE46" s="95">
        <v>0</v>
      </c>
      <c r="AF46" s="96">
        <v>1200</v>
      </c>
      <c r="AG46" s="105">
        <v>0</v>
      </c>
      <c r="AH46" s="231">
        <f>+Janvier!AJ46</f>
        <v>2160.3708791208792</v>
      </c>
      <c r="AI46" s="231">
        <f>+Janvier!AK46</f>
        <v>6721.1538461538466</v>
      </c>
      <c r="AJ46" s="231">
        <f>+Janvier!AL46</f>
        <v>5040.8653846153848</v>
      </c>
      <c r="AK46" s="231">
        <f>+Janvier!AM46</f>
        <v>5040.8653846153848</v>
      </c>
      <c r="AL46" s="231">
        <f>+Janvier!AN46</f>
        <v>3055.0699300699303</v>
      </c>
      <c r="AM46" s="231">
        <f>+Janvier!AO46</f>
        <v>1890.3245192307693</v>
      </c>
      <c r="AN46" s="231">
        <f>+Janvier!AP46</f>
        <v>3780.6490384615386</v>
      </c>
      <c r="AO46" s="231">
        <f>+Janvier!AQ46</f>
        <v>1890.3245192307693</v>
      </c>
      <c r="AP46" s="231">
        <f>+Janvier!AR46</f>
        <v>1890.3245192307693</v>
      </c>
      <c r="AQ46" s="231">
        <f>+Janvier!AS46</f>
        <v>3360.5769230769233</v>
      </c>
      <c r="AR46" s="16">
        <f t="shared" si="78"/>
        <v>1</v>
      </c>
      <c r="AS46" s="16">
        <f t="shared" si="79"/>
        <v>1</v>
      </c>
      <c r="AT46" s="16">
        <f t="shared" si="80"/>
        <v>1</v>
      </c>
      <c r="AU46" s="16">
        <f t="shared" si="81"/>
        <v>1</v>
      </c>
      <c r="AV46" s="16">
        <f t="shared" si="82"/>
        <v>1</v>
      </c>
      <c r="AW46" s="16">
        <f t="shared" si="83"/>
        <v>2</v>
      </c>
      <c r="AX46" s="16">
        <f t="shared" si="84"/>
        <v>2</v>
      </c>
      <c r="AY46" s="16">
        <f t="shared" si="85"/>
        <v>2</v>
      </c>
      <c r="AZ46" s="16">
        <f t="shared" si="86"/>
        <v>2</v>
      </c>
      <c r="BA46" s="17">
        <f t="shared" si="87"/>
        <v>2</v>
      </c>
    </row>
    <row r="47" spans="1:53" ht="15.6" x14ac:dyDescent="0.3">
      <c r="A47" s="199" t="s">
        <v>50</v>
      </c>
      <c r="B47" s="94">
        <v>44044</v>
      </c>
      <c r="C47" s="94">
        <v>44074</v>
      </c>
      <c r="D47" s="107">
        <v>0</v>
      </c>
      <c r="E47" s="96">
        <v>0</v>
      </c>
      <c r="F47" s="97">
        <v>13</v>
      </c>
      <c r="G47" s="95">
        <v>0</v>
      </c>
      <c r="H47" s="96">
        <v>2760</v>
      </c>
      <c r="I47" s="105">
        <v>0</v>
      </c>
      <c r="J47" s="95">
        <v>0</v>
      </c>
      <c r="K47" s="96">
        <v>1300</v>
      </c>
      <c r="L47" s="97">
        <v>0</v>
      </c>
      <c r="M47" s="95">
        <v>0</v>
      </c>
      <c r="N47" s="96">
        <v>1300</v>
      </c>
      <c r="O47" s="97">
        <v>0</v>
      </c>
      <c r="P47" s="95">
        <v>0</v>
      </c>
      <c r="Q47" s="96">
        <v>820</v>
      </c>
      <c r="R47" s="97">
        <v>0</v>
      </c>
      <c r="S47" s="95">
        <v>0</v>
      </c>
      <c r="T47" s="96">
        <v>765</v>
      </c>
      <c r="U47" s="97">
        <v>0</v>
      </c>
      <c r="V47" s="95">
        <v>0</v>
      </c>
      <c r="W47" s="96">
        <v>1150</v>
      </c>
      <c r="X47" s="97">
        <v>0</v>
      </c>
      <c r="Y47" s="95">
        <v>0</v>
      </c>
      <c r="Z47" s="96">
        <v>480</v>
      </c>
      <c r="AA47" s="97">
        <v>0</v>
      </c>
      <c r="AB47" s="95">
        <v>0</v>
      </c>
      <c r="AC47" s="96">
        <v>460</v>
      </c>
      <c r="AD47" s="97">
        <v>0</v>
      </c>
      <c r="AE47" s="95">
        <v>0</v>
      </c>
      <c r="AF47" s="96">
        <v>950</v>
      </c>
      <c r="AG47" s="105">
        <v>0</v>
      </c>
      <c r="AH47" s="231">
        <f>+Janvier!AJ47</f>
        <v>3766.7719780219786</v>
      </c>
      <c r="AI47" s="231">
        <f>+Janvier!AK47</f>
        <v>11718.846153846154</v>
      </c>
      <c r="AJ47" s="231">
        <f>+Janvier!AL47</f>
        <v>8789.1346153846171</v>
      </c>
      <c r="AK47" s="231">
        <f>+Janvier!AM47</f>
        <v>8789.1346153846171</v>
      </c>
      <c r="AL47" s="231">
        <f>+Janvier!AN47</f>
        <v>5326.7482517482513</v>
      </c>
      <c r="AM47" s="231">
        <f>+Janvier!AO47</f>
        <v>3295.9254807692309</v>
      </c>
      <c r="AN47" s="231">
        <f>+Janvier!AP47</f>
        <v>6591.8509615384619</v>
      </c>
      <c r="AO47" s="231">
        <f>+Janvier!AQ47</f>
        <v>3295.9254807692309</v>
      </c>
      <c r="AP47" s="231">
        <f>+Janvier!AR47</f>
        <v>3295.9254807692309</v>
      </c>
      <c r="AQ47" s="231">
        <f>+Janvier!AS47</f>
        <v>5859.4230769230771</v>
      </c>
      <c r="AR47" s="16">
        <f t="shared" si="78"/>
        <v>0</v>
      </c>
      <c r="AS47" s="16">
        <f t="shared" si="79"/>
        <v>1</v>
      </c>
      <c r="AT47" s="16">
        <f t="shared" si="80"/>
        <v>1</v>
      </c>
      <c r="AU47" s="16">
        <f t="shared" si="81"/>
        <v>1</v>
      </c>
      <c r="AV47" s="16">
        <f t="shared" si="82"/>
        <v>1</v>
      </c>
      <c r="AW47" s="16">
        <f t="shared" si="83"/>
        <v>1</v>
      </c>
      <c r="AX47" s="16">
        <f t="shared" si="84"/>
        <v>1</v>
      </c>
      <c r="AY47" s="16">
        <f t="shared" si="85"/>
        <v>1</v>
      </c>
      <c r="AZ47" s="16">
        <f t="shared" si="86"/>
        <v>1</v>
      </c>
      <c r="BA47" s="17">
        <f t="shared" si="87"/>
        <v>1</v>
      </c>
    </row>
    <row r="48" spans="1:53" ht="15.6" x14ac:dyDescent="0.3">
      <c r="A48" s="199" t="s">
        <v>56</v>
      </c>
      <c r="B48" s="94">
        <v>44044</v>
      </c>
      <c r="C48" s="94">
        <v>44074</v>
      </c>
      <c r="D48" s="107">
        <v>0</v>
      </c>
      <c r="E48" s="96">
        <v>40</v>
      </c>
      <c r="F48" s="97">
        <v>0</v>
      </c>
      <c r="G48" s="95">
        <v>0</v>
      </c>
      <c r="H48" s="96">
        <v>1600</v>
      </c>
      <c r="I48" s="105">
        <v>0</v>
      </c>
      <c r="J48" s="95">
        <v>0</v>
      </c>
      <c r="K48" s="96">
        <v>700</v>
      </c>
      <c r="L48" s="97">
        <v>0</v>
      </c>
      <c r="M48" s="95">
        <v>0</v>
      </c>
      <c r="N48" s="96">
        <v>740</v>
      </c>
      <c r="O48" s="97">
        <v>0</v>
      </c>
      <c r="P48" s="95">
        <v>0</v>
      </c>
      <c r="Q48" s="96">
        <v>275</v>
      </c>
      <c r="R48" s="97">
        <v>0</v>
      </c>
      <c r="S48" s="95">
        <v>0</v>
      </c>
      <c r="T48" s="96">
        <v>470</v>
      </c>
      <c r="U48" s="97">
        <v>0</v>
      </c>
      <c r="V48" s="95">
        <v>0</v>
      </c>
      <c r="W48" s="96">
        <v>1220</v>
      </c>
      <c r="X48" s="97">
        <v>0</v>
      </c>
      <c r="Y48" s="95">
        <v>0</v>
      </c>
      <c r="Z48" s="96">
        <v>400</v>
      </c>
      <c r="AA48" s="97">
        <v>0</v>
      </c>
      <c r="AB48" s="95">
        <v>0</v>
      </c>
      <c r="AC48" s="96">
        <v>370</v>
      </c>
      <c r="AD48" s="97">
        <v>0</v>
      </c>
      <c r="AE48" s="95">
        <v>0</v>
      </c>
      <c r="AF48" s="96">
        <v>1200</v>
      </c>
      <c r="AG48" s="105">
        <v>0</v>
      </c>
      <c r="AH48" s="231">
        <f>+Janvier!AJ48</f>
        <v>1604.6703296703297</v>
      </c>
      <c r="AI48" s="231">
        <f>+Janvier!AK48</f>
        <v>4992.3076923076924</v>
      </c>
      <c r="AJ48" s="231">
        <f>+Janvier!AL48</f>
        <v>3744.2307692307691</v>
      </c>
      <c r="AK48" s="231">
        <f>+Janvier!AM48</f>
        <v>3744.2307692307691</v>
      </c>
      <c r="AL48" s="231">
        <f>+Janvier!AN48</f>
        <v>2269.2307692307695</v>
      </c>
      <c r="AM48" s="231">
        <f>+Janvier!AO48</f>
        <v>1404.0865384615383</v>
      </c>
      <c r="AN48" s="231">
        <f>+Janvier!AP48</f>
        <v>2808.1730769230767</v>
      </c>
      <c r="AO48" s="231">
        <f>+Janvier!AQ48</f>
        <v>1404.0865384615383</v>
      </c>
      <c r="AP48" s="231">
        <f>+Janvier!AR48</f>
        <v>1404.0865384615383</v>
      </c>
      <c r="AQ48" s="231">
        <f>+Janvier!AS48</f>
        <v>2496.1538461538462</v>
      </c>
      <c r="AR48" s="16">
        <f t="shared" si="78"/>
        <v>0</v>
      </c>
      <c r="AS48" s="16">
        <f t="shared" si="79"/>
        <v>2</v>
      </c>
      <c r="AT48" s="16">
        <f t="shared" si="80"/>
        <v>1</v>
      </c>
      <c r="AU48" s="16">
        <f t="shared" si="81"/>
        <v>1</v>
      </c>
      <c r="AV48" s="16">
        <f t="shared" si="82"/>
        <v>1</v>
      </c>
      <c r="AW48" s="16">
        <f t="shared" si="83"/>
        <v>2</v>
      </c>
      <c r="AX48" s="16">
        <f t="shared" si="84"/>
        <v>2</v>
      </c>
      <c r="AY48" s="16">
        <f t="shared" si="85"/>
        <v>1</v>
      </c>
      <c r="AZ48" s="16">
        <f t="shared" si="86"/>
        <v>1</v>
      </c>
      <c r="BA48" s="17">
        <f t="shared" si="87"/>
        <v>2</v>
      </c>
    </row>
    <row r="49" spans="1:53" ht="15.6" x14ac:dyDescent="0.3">
      <c r="A49" s="199" t="s">
        <v>51</v>
      </c>
      <c r="B49" s="94">
        <v>44044</v>
      </c>
      <c r="C49" s="94">
        <v>44074</v>
      </c>
      <c r="D49" s="107">
        <v>0</v>
      </c>
      <c r="E49" s="96">
        <v>0</v>
      </c>
      <c r="F49" s="97">
        <v>17</v>
      </c>
      <c r="G49" s="95">
        <v>0</v>
      </c>
      <c r="H49" s="96">
        <v>1200</v>
      </c>
      <c r="I49" s="105">
        <v>0</v>
      </c>
      <c r="J49" s="95">
        <v>0</v>
      </c>
      <c r="K49" s="96">
        <v>470</v>
      </c>
      <c r="L49" s="97">
        <v>0</v>
      </c>
      <c r="M49" s="95">
        <v>0</v>
      </c>
      <c r="N49" s="96">
        <v>560</v>
      </c>
      <c r="O49" s="97">
        <v>0</v>
      </c>
      <c r="P49" s="95">
        <v>0</v>
      </c>
      <c r="Q49" s="96">
        <v>342</v>
      </c>
      <c r="R49" s="97">
        <v>0</v>
      </c>
      <c r="S49" s="95">
        <v>0</v>
      </c>
      <c r="T49" s="96">
        <v>190</v>
      </c>
      <c r="U49" s="97">
        <v>0</v>
      </c>
      <c r="V49" s="95">
        <v>0</v>
      </c>
      <c r="W49" s="96">
        <v>620</v>
      </c>
      <c r="X49" s="97">
        <v>0</v>
      </c>
      <c r="Y49" s="95">
        <v>0</v>
      </c>
      <c r="Z49" s="96">
        <v>200</v>
      </c>
      <c r="AA49" s="97">
        <v>0</v>
      </c>
      <c r="AB49" s="95">
        <v>0</v>
      </c>
      <c r="AC49" s="96">
        <v>210</v>
      </c>
      <c r="AD49" s="97">
        <v>0</v>
      </c>
      <c r="AE49" s="95">
        <v>0</v>
      </c>
      <c r="AF49" s="96">
        <v>420</v>
      </c>
      <c r="AG49" s="105">
        <v>0</v>
      </c>
      <c r="AH49" s="231">
        <f>+Janvier!AJ49</f>
        <v>1032.2802197802198</v>
      </c>
      <c r="AI49" s="231">
        <f>+Janvier!AK49</f>
        <v>3211.5384615384614</v>
      </c>
      <c r="AJ49" s="231">
        <f>+Janvier!AL49</f>
        <v>2408.6538461538462</v>
      </c>
      <c r="AK49" s="231">
        <f>+Janvier!AM49</f>
        <v>2408.6538461538462</v>
      </c>
      <c r="AL49" s="231">
        <f>+Janvier!AN49</f>
        <v>1459.7902097902099</v>
      </c>
      <c r="AM49" s="231">
        <f>+Janvier!AO49</f>
        <v>903.24519230769226</v>
      </c>
      <c r="AN49" s="231">
        <f>+Janvier!AP49</f>
        <v>1806.4903846153845</v>
      </c>
      <c r="AO49" s="231">
        <f>+Janvier!AQ49</f>
        <v>903.24519230769226</v>
      </c>
      <c r="AP49" s="231">
        <f>+Janvier!AR49</f>
        <v>903.24519230769226</v>
      </c>
      <c r="AQ49" s="231">
        <f>+Janvier!AS49</f>
        <v>1605.7692307692307</v>
      </c>
      <c r="AR49" s="16">
        <f t="shared" si="78"/>
        <v>0</v>
      </c>
      <c r="AS49" s="16">
        <f t="shared" si="79"/>
        <v>2</v>
      </c>
      <c r="AT49" s="16">
        <f t="shared" si="80"/>
        <v>1</v>
      </c>
      <c r="AU49" s="16">
        <f t="shared" si="81"/>
        <v>1</v>
      </c>
      <c r="AV49" s="16">
        <f t="shared" si="82"/>
        <v>1</v>
      </c>
      <c r="AW49" s="16">
        <f t="shared" si="83"/>
        <v>1</v>
      </c>
      <c r="AX49" s="16">
        <f t="shared" si="84"/>
        <v>2</v>
      </c>
      <c r="AY49" s="16">
        <f t="shared" si="85"/>
        <v>1</v>
      </c>
      <c r="AZ49" s="16">
        <f t="shared" si="86"/>
        <v>1</v>
      </c>
      <c r="BA49" s="17">
        <f t="shared" si="87"/>
        <v>1</v>
      </c>
    </row>
    <row r="50" spans="1:53" ht="15.6" x14ac:dyDescent="0.3">
      <c r="A50" s="199" t="s">
        <v>52</v>
      </c>
      <c r="B50" s="94">
        <v>44044</v>
      </c>
      <c r="C50" s="94">
        <v>44074</v>
      </c>
      <c r="D50" s="107">
        <v>0</v>
      </c>
      <c r="E50" s="96">
        <v>0</v>
      </c>
      <c r="F50" s="97">
        <v>14</v>
      </c>
      <c r="G50" s="95">
        <v>0</v>
      </c>
      <c r="H50" s="96">
        <v>1960</v>
      </c>
      <c r="I50" s="105">
        <v>0</v>
      </c>
      <c r="J50" s="95">
        <v>0</v>
      </c>
      <c r="K50" s="96">
        <v>870</v>
      </c>
      <c r="L50" s="97">
        <v>0</v>
      </c>
      <c r="M50" s="95">
        <v>0</v>
      </c>
      <c r="N50" s="96">
        <v>880</v>
      </c>
      <c r="O50" s="97">
        <v>0</v>
      </c>
      <c r="P50" s="95">
        <v>0</v>
      </c>
      <c r="Q50" s="96">
        <v>460</v>
      </c>
      <c r="R50" s="97">
        <v>0</v>
      </c>
      <c r="S50" s="95">
        <v>0</v>
      </c>
      <c r="T50" s="96">
        <v>490</v>
      </c>
      <c r="U50" s="97">
        <v>0</v>
      </c>
      <c r="V50" s="95">
        <v>0</v>
      </c>
      <c r="W50" s="96">
        <v>780</v>
      </c>
      <c r="X50" s="97">
        <v>0</v>
      </c>
      <c r="Y50" s="95">
        <v>0</v>
      </c>
      <c r="Z50" s="96">
        <v>410</v>
      </c>
      <c r="AA50" s="97">
        <v>0</v>
      </c>
      <c r="AB50" s="95">
        <v>0</v>
      </c>
      <c r="AC50" s="96">
        <v>390</v>
      </c>
      <c r="AD50" s="97">
        <v>0</v>
      </c>
      <c r="AE50" s="95">
        <v>0</v>
      </c>
      <c r="AF50" s="96">
        <v>880</v>
      </c>
      <c r="AG50" s="105">
        <v>0</v>
      </c>
      <c r="AH50" s="231">
        <f>+Janvier!AJ50</f>
        <v>2981.6208791208792</v>
      </c>
      <c r="AI50" s="231">
        <f>+Janvier!AK50</f>
        <v>9276.1538461538476</v>
      </c>
      <c r="AJ50" s="231">
        <f>+Janvier!AL50</f>
        <v>6957.1153846153857</v>
      </c>
      <c r="AK50" s="231">
        <f>+Janvier!AM50</f>
        <v>6957.1153846153857</v>
      </c>
      <c r="AL50" s="231">
        <f>+Janvier!AN50</f>
        <v>4216.4335664335667</v>
      </c>
      <c r="AM50" s="231">
        <f>+Janvier!AO50</f>
        <v>2608.9182692307691</v>
      </c>
      <c r="AN50" s="231">
        <f>+Janvier!AP50</f>
        <v>5217.8365384615381</v>
      </c>
      <c r="AO50" s="231">
        <f>+Janvier!AQ50</f>
        <v>2608.9182692307691</v>
      </c>
      <c r="AP50" s="231">
        <f>+Janvier!AR50</f>
        <v>2608.9182692307691</v>
      </c>
      <c r="AQ50" s="231">
        <f>+Janvier!AS50</f>
        <v>4638.0769230769238</v>
      </c>
      <c r="AR50" s="16">
        <f t="shared" si="78"/>
        <v>0</v>
      </c>
      <c r="AS50" s="16">
        <f t="shared" si="79"/>
        <v>1</v>
      </c>
      <c r="AT50" s="16">
        <f t="shared" si="80"/>
        <v>1</v>
      </c>
      <c r="AU50" s="16">
        <f t="shared" si="81"/>
        <v>1</v>
      </c>
      <c r="AV50" s="16">
        <f t="shared" si="82"/>
        <v>1</v>
      </c>
      <c r="AW50" s="16">
        <f t="shared" si="83"/>
        <v>1</v>
      </c>
      <c r="AX50" s="16">
        <f t="shared" si="84"/>
        <v>1</v>
      </c>
      <c r="AY50" s="16">
        <f t="shared" si="85"/>
        <v>1</v>
      </c>
      <c r="AZ50" s="16">
        <f t="shared" si="86"/>
        <v>1</v>
      </c>
      <c r="BA50" s="17">
        <f t="shared" si="87"/>
        <v>1</v>
      </c>
    </row>
    <row r="51" spans="1:53" ht="15.6" x14ac:dyDescent="0.3">
      <c r="A51" s="199" t="s">
        <v>53</v>
      </c>
      <c r="B51" s="94">
        <v>44044</v>
      </c>
      <c r="C51" s="94">
        <v>44074</v>
      </c>
      <c r="D51" s="107">
        <v>0</v>
      </c>
      <c r="E51" s="96">
        <v>0</v>
      </c>
      <c r="F51" s="97">
        <v>15</v>
      </c>
      <c r="G51" s="95">
        <v>0</v>
      </c>
      <c r="H51" s="96">
        <v>180</v>
      </c>
      <c r="I51" s="105">
        <v>0</v>
      </c>
      <c r="J51" s="95">
        <v>0</v>
      </c>
      <c r="K51" s="96">
        <v>160</v>
      </c>
      <c r="L51" s="97">
        <v>0</v>
      </c>
      <c r="M51" s="95">
        <v>0</v>
      </c>
      <c r="N51" s="96">
        <v>160</v>
      </c>
      <c r="O51" s="97">
        <v>0</v>
      </c>
      <c r="P51" s="95">
        <v>0</v>
      </c>
      <c r="Q51" s="96">
        <v>68</v>
      </c>
      <c r="R51" s="97">
        <v>0</v>
      </c>
      <c r="S51" s="95">
        <v>0</v>
      </c>
      <c r="T51" s="96">
        <v>40</v>
      </c>
      <c r="U51" s="97">
        <v>0</v>
      </c>
      <c r="V51" s="95">
        <v>0</v>
      </c>
      <c r="W51" s="96">
        <v>70</v>
      </c>
      <c r="X51" s="97">
        <v>0</v>
      </c>
      <c r="Y51" s="95">
        <v>0</v>
      </c>
      <c r="Z51" s="96">
        <v>40</v>
      </c>
      <c r="AA51" s="97">
        <v>0</v>
      </c>
      <c r="AB51" s="95">
        <v>0</v>
      </c>
      <c r="AC51" s="96">
        <v>40</v>
      </c>
      <c r="AD51" s="97">
        <v>0</v>
      </c>
      <c r="AE51" s="95">
        <v>0</v>
      </c>
      <c r="AF51" s="96">
        <v>50</v>
      </c>
      <c r="AG51" s="105">
        <v>0</v>
      </c>
      <c r="AH51" s="231">
        <f>+Janvier!AJ51</f>
        <v>168.87362637362639</v>
      </c>
      <c r="AI51" s="231">
        <f>+Janvier!AK51</f>
        <v>525.38461538461547</v>
      </c>
      <c r="AJ51" s="231">
        <f>+Janvier!AL51</f>
        <v>394.0384615384616</v>
      </c>
      <c r="AK51" s="231">
        <f>+Janvier!AM51</f>
        <v>394.0384615384616</v>
      </c>
      <c r="AL51" s="231">
        <f>+Janvier!AN51</f>
        <v>238.81118881118883</v>
      </c>
      <c r="AM51" s="231">
        <f>+Janvier!AO51</f>
        <v>147.76442307692309</v>
      </c>
      <c r="AN51" s="231">
        <f>+Janvier!AP51</f>
        <v>295.52884615384619</v>
      </c>
      <c r="AO51" s="231">
        <f>+Janvier!AQ51</f>
        <v>147.76442307692309</v>
      </c>
      <c r="AP51" s="231">
        <f>+Janvier!AR51</f>
        <v>147.76442307692309</v>
      </c>
      <c r="AQ51" s="231">
        <f>+Janvier!AS51</f>
        <v>262.69230769230774</v>
      </c>
      <c r="AR51" s="16">
        <f t="shared" si="78"/>
        <v>0</v>
      </c>
      <c r="AS51" s="16">
        <f t="shared" si="79"/>
        <v>2</v>
      </c>
      <c r="AT51" s="16">
        <f t="shared" si="80"/>
        <v>2</v>
      </c>
      <c r="AU51" s="16">
        <f t="shared" si="81"/>
        <v>2</v>
      </c>
      <c r="AV51" s="16">
        <f t="shared" si="82"/>
        <v>1</v>
      </c>
      <c r="AW51" s="16">
        <f t="shared" si="83"/>
        <v>1</v>
      </c>
      <c r="AX51" s="16">
        <f t="shared" si="84"/>
        <v>1</v>
      </c>
      <c r="AY51" s="16">
        <f t="shared" si="85"/>
        <v>1</v>
      </c>
      <c r="AZ51" s="16">
        <f t="shared" si="86"/>
        <v>1</v>
      </c>
      <c r="BA51" s="17">
        <f t="shared" si="87"/>
        <v>1</v>
      </c>
    </row>
    <row r="52" spans="1:53" ht="15.6" x14ac:dyDescent="0.3">
      <c r="A52" s="199" t="s">
        <v>54</v>
      </c>
      <c r="B52" s="94">
        <v>44044</v>
      </c>
      <c r="C52" s="94">
        <v>44074</v>
      </c>
      <c r="D52" s="107">
        <v>0</v>
      </c>
      <c r="E52" s="96">
        <v>140</v>
      </c>
      <c r="F52" s="97">
        <v>0</v>
      </c>
      <c r="G52" s="95">
        <v>0</v>
      </c>
      <c r="H52" s="96">
        <v>370</v>
      </c>
      <c r="I52" s="105">
        <v>0</v>
      </c>
      <c r="J52" s="95">
        <v>0</v>
      </c>
      <c r="K52" s="96">
        <v>1160</v>
      </c>
      <c r="L52" s="97">
        <v>0</v>
      </c>
      <c r="M52" s="95">
        <v>0</v>
      </c>
      <c r="N52" s="96">
        <v>540</v>
      </c>
      <c r="O52" s="97">
        <v>0</v>
      </c>
      <c r="P52" s="95">
        <v>0</v>
      </c>
      <c r="Q52" s="96">
        <v>232</v>
      </c>
      <c r="R52" s="97">
        <v>0</v>
      </c>
      <c r="S52" s="95">
        <v>0</v>
      </c>
      <c r="T52" s="96">
        <v>125</v>
      </c>
      <c r="U52" s="97">
        <v>0</v>
      </c>
      <c r="V52" s="95">
        <v>0</v>
      </c>
      <c r="W52" s="96">
        <v>520</v>
      </c>
      <c r="X52" s="97">
        <v>0</v>
      </c>
      <c r="Y52" s="95">
        <v>0</v>
      </c>
      <c r="Z52" s="96">
        <v>120</v>
      </c>
      <c r="AA52" s="97">
        <v>0</v>
      </c>
      <c r="AB52" s="95">
        <v>0</v>
      </c>
      <c r="AC52" s="96">
        <v>130</v>
      </c>
      <c r="AD52" s="97">
        <v>0</v>
      </c>
      <c r="AE52" s="95">
        <v>0</v>
      </c>
      <c r="AF52" s="96">
        <v>280</v>
      </c>
      <c r="AG52" s="105">
        <v>0</v>
      </c>
      <c r="AH52" s="231">
        <f>+Janvier!AJ52</f>
        <v>1001.7445054945053</v>
      </c>
      <c r="AI52" s="231">
        <f>+Janvier!AK52</f>
        <v>3116.5384615384614</v>
      </c>
      <c r="AJ52" s="231">
        <f>+Janvier!AL52</f>
        <v>2337.4038461538462</v>
      </c>
      <c r="AK52" s="231">
        <f>+Janvier!AM52</f>
        <v>2337.4038461538462</v>
      </c>
      <c r="AL52" s="231">
        <f>+Janvier!AN52</f>
        <v>1416.6083916083917</v>
      </c>
      <c r="AM52" s="231">
        <f>+Janvier!AO52</f>
        <v>876.52644230769226</v>
      </c>
      <c r="AN52" s="231">
        <f>+Janvier!AP52</f>
        <v>1753.0528846153845</v>
      </c>
      <c r="AO52" s="231">
        <f>+Janvier!AQ52</f>
        <v>876.52644230769226</v>
      </c>
      <c r="AP52" s="231">
        <f>+Janvier!AR52</f>
        <v>876.52644230769226</v>
      </c>
      <c r="AQ52" s="231">
        <f>+Janvier!AS52</f>
        <v>1558.2692307692307</v>
      </c>
      <c r="AR52" s="16">
        <f t="shared" si="78"/>
        <v>1</v>
      </c>
      <c r="AS52" s="16">
        <f t="shared" si="79"/>
        <v>1</v>
      </c>
      <c r="AT52" s="16">
        <f t="shared" si="80"/>
        <v>2</v>
      </c>
      <c r="AU52" s="16">
        <f t="shared" si="81"/>
        <v>1</v>
      </c>
      <c r="AV52" s="16">
        <f t="shared" si="82"/>
        <v>1</v>
      </c>
      <c r="AW52" s="16">
        <f t="shared" si="83"/>
        <v>1</v>
      </c>
      <c r="AX52" s="16">
        <f t="shared" si="84"/>
        <v>1</v>
      </c>
      <c r="AY52" s="16">
        <f t="shared" si="85"/>
        <v>1</v>
      </c>
      <c r="AZ52" s="16">
        <f t="shared" si="86"/>
        <v>1</v>
      </c>
      <c r="BA52" s="17">
        <f t="shared" si="87"/>
        <v>1</v>
      </c>
    </row>
    <row r="53" spans="1:53" ht="16.2" thickBot="1" x14ac:dyDescent="0.35">
      <c r="A53" s="200" t="s">
        <v>55</v>
      </c>
      <c r="B53" s="255">
        <v>44044</v>
      </c>
      <c r="C53" s="255">
        <v>44074</v>
      </c>
      <c r="D53" s="249">
        <v>0</v>
      </c>
      <c r="E53" s="260">
        <v>80</v>
      </c>
      <c r="F53" s="261">
        <v>0</v>
      </c>
      <c r="G53" s="111">
        <v>0</v>
      </c>
      <c r="H53" s="109">
        <v>360</v>
      </c>
      <c r="I53" s="112">
        <v>0</v>
      </c>
      <c r="J53" s="111">
        <v>0</v>
      </c>
      <c r="K53" s="109">
        <v>220</v>
      </c>
      <c r="L53" s="110">
        <v>0</v>
      </c>
      <c r="M53" s="111">
        <v>0</v>
      </c>
      <c r="N53" s="109">
        <v>240</v>
      </c>
      <c r="O53" s="110">
        <v>0</v>
      </c>
      <c r="P53" s="111">
        <v>0</v>
      </c>
      <c r="Q53" s="109">
        <v>149</v>
      </c>
      <c r="R53" s="110">
        <v>0</v>
      </c>
      <c r="S53" s="111">
        <v>0</v>
      </c>
      <c r="T53" s="109">
        <v>70</v>
      </c>
      <c r="U53" s="110">
        <v>0</v>
      </c>
      <c r="V53" s="111">
        <v>0</v>
      </c>
      <c r="W53" s="109">
        <v>200</v>
      </c>
      <c r="X53" s="110">
        <v>0</v>
      </c>
      <c r="Y53" s="111">
        <v>0</v>
      </c>
      <c r="Z53" s="109">
        <v>80</v>
      </c>
      <c r="AA53" s="110">
        <v>0</v>
      </c>
      <c r="AB53" s="111">
        <v>0</v>
      </c>
      <c r="AC53" s="109">
        <v>90</v>
      </c>
      <c r="AD53" s="110">
        <v>0</v>
      </c>
      <c r="AE53" s="111">
        <v>0</v>
      </c>
      <c r="AF53" s="109">
        <v>180</v>
      </c>
      <c r="AG53" s="112">
        <v>0</v>
      </c>
      <c r="AH53" s="231">
        <f>+Janvier!AJ53</f>
        <v>269.25824175824175</v>
      </c>
      <c r="AI53" s="231">
        <f>+Janvier!AK53</f>
        <v>837.69230769230774</v>
      </c>
      <c r="AJ53" s="231">
        <f>+Janvier!AL53</f>
        <v>628.26923076923083</v>
      </c>
      <c r="AK53" s="231">
        <f>+Janvier!AM53</f>
        <v>628.26923076923083</v>
      </c>
      <c r="AL53" s="231">
        <f>+Janvier!AN53</f>
        <v>380.76923076923083</v>
      </c>
      <c r="AM53" s="231">
        <f>+Janvier!AO53</f>
        <v>235.60096153846155</v>
      </c>
      <c r="AN53" s="231">
        <f>+Janvier!AP53</f>
        <v>471.20192307692309</v>
      </c>
      <c r="AO53" s="231">
        <f>+Janvier!AQ53</f>
        <v>235.60096153846155</v>
      </c>
      <c r="AP53" s="231">
        <f>+Janvier!AR53</f>
        <v>235.60096153846155</v>
      </c>
      <c r="AQ53" s="231">
        <f>+Janvier!AS53</f>
        <v>418.84615384615387</v>
      </c>
      <c r="AR53" s="32">
        <f t="shared" si="78"/>
        <v>1</v>
      </c>
      <c r="AS53" s="32">
        <f t="shared" si="79"/>
        <v>2</v>
      </c>
      <c r="AT53" s="32">
        <f t="shared" si="80"/>
        <v>2</v>
      </c>
      <c r="AU53" s="32">
        <f t="shared" si="81"/>
        <v>2</v>
      </c>
      <c r="AV53" s="32">
        <f t="shared" si="82"/>
        <v>2</v>
      </c>
      <c r="AW53" s="32">
        <f t="shared" si="83"/>
        <v>1</v>
      </c>
      <c r="AX53" s="32">
        <f t="shared" si="84"/>
        <v>2</v>
      </c>
      <c r="AY53" s="32">
        <f t="shared" si="85"/>
        <v>2</v>
      </c>
      <c r="AZ53" s="32">
        <f t="shared" si="86"/>
        <v>2</v>
      </c>
      <c r="BA53" s="33">
        <f t="shared" si="87"/>
        <v>2</v>
      </c>
    </row>
    <row r="54" spans="1:53" ht="15.6" hidden="1" x14ac:dyDescent="0.3">
      <c r="A54" s="201" t="s">
        <v>146</v>
      </c>
      <c r="B54" s="256">
        <v>44044</v>
      </c>
      <c r="C54" s="259">
        <v>44074</v>
      </c>
      <c r="D54" s="125">
        <v>0</v>
      </c>
      <c r="E54" s="123">
        <v>21420</v>
      </c>
      <c r="F54" s="124">
        <v>0</v>
      </c>
      <c r="G54" s="125">
        <v>0</v>
      </c>
      <c r="H54" s="123">
        <v>107960</v>
      </c>
      <c r="I54" s="124">
        <v>0</v>
      </c>
      <c r="J54" s="125">
        <v>0</v>
      </c>
      <c r="K54" s="123">
        <v>61110</v>
      </c>
      <c r="L54" s="124">
        <v>0</v>
      </c>
      <c r="M54" s="125">
        <v>0</v>
      </c>
      <c r="N54" s="123">
        <v>63192</v>
      </c>
      <c r="O54" s="124">
        <v>0</v>
      </c>
      <c r="P54" s="125">
        <v>0</v>
      </c>
      <c r="Q54" s="123">
        <v>33900</v>
      </c>
      <c r="R54" s="124">
        <v>0</v>
      </c>
      <c r="S54" s="125">
        <v>0</v>
      </c>
      <c r="T54" s="123">
        <v>20990</v>
      </c>
      <c r="U54" s="124">
        <v>0</v>
      </c>
      <c r="V54" s="125">
        <v>0</v>
      </c>
      <c r="W54" s="123">
        <v>62860</v>
      </c>
      <c r="X54" s="124">
        <v>0</v>
      </c>
      <c r="Y54" s="125">
        <v>0</v>
      </c>
      <c r="Z54" s="123">
        <v>22810</v>
      </c>
      <c r="AA54" s="124">
        <v>0</v>
      </c>
      <c r="AB54" s="125">
        <v>0</v>
      </c>
      <c r="AC54" s="123">
        <v>21070</v>
      </c>
      <c r="AD54" s="124">
        <v>0</v>
      </c>
      <c r="AE54" s="125">
        <v>0</v>
      </c>
      <c r="AF54" s="123">
        <v>58440</v>
      </c>
      <c r="AG54" s="124">
        <v>0</v>
      </c>
      <c r="AH54" s="265">
        <f>+Janvier!AJ54</f>
        <v>63310.376250000001</v>
      </c>
      <c r="AI54" s="231">
        <f>+Janvier!AK54</f>
        <v>217816.00961538462</v>
      </c>
      <c r="AJ54" s="231">
        <f>+Janvier!AL54</f>
        <v>145065.46240384618</v>
      </c>
      <c r="AK54" s="231">
        <f>+Janvier!AM54</f>
        <v>145065.46240384618</v>
      </c>
      <c r="AL54" s="231">
        <f>+Janvier!AN54</f>
        <v>91482.724038461543</v>
      </c>
      <c r="AM54" s="231">
        <f>+Janvier!AO54</f>
        <v>54454.002403846156</v>
      </c>
      <c r="AN54" s="231">
        <f>+Janvier!AP54</f>
        <v>108908.00480769231</v>
      </c>
      <c r="AO54" s="231">
        <f>+Janvier!AQ54</f>
        <v>54454.002403846156</v>
      </c>
      <c r="AP54" s="231">
        <f>+Janvier!AR54</f>
        <v>54454.002403846156</v>
      </c>
      <c r="AQ54" s="231">
        <f>+Janvier!AS54</f>
        <v>98286.038653846175</v>
      </c>
      <c r="AR54" s="16">
        <f>ROUND(E54/(AH54/15),0)</f>
        <v>5</v>
      </c>
      <c r="AS54" s="16">
        <f t="shared" ref="AS54" si="88">ROUND(H54/(AI54/15),0)</f>
        <v>7</v>
      </c>
      <c r="AT54" s="16">
        <f t="shared" ref="AT54" si="89">ROUND(K54/(AJ54/15),0)</f>
        <v>6</v>
      </c>
      <c r="AU54" s="16">
        <f t="shared" ref="AU54" si="90">ROUND(N54/(AK54/15),0)</f>
        <v>7</v>
      </c>
      <c r="AV54" s="16">
        <f t="shared" ref="AV54" si="91">ROUND(Q54/(AL54/15),0)</f>
        <v>6</v>
      </c>
      <c r="AW54" s="16">
        <f t="shared" ref="AW54" si="92">ROUND(T54/(AM54/15),0)</f>
        <v>6</v>
      </c>
      <c r="AX54" s="16">
        <f t="shared" ref="AX54" si="93">ROUND(W54/(AN54/15),0)</f>
        <v>9</v>
      </c>
      <c r="AY54" s="16">
        <f t="shared" ref="AY54" si="94">ROUND(Z54/(AO54/15),0)</f>
        <v>6</v>
      </c>
      <c r="AZ54" s="16">
        <f t="shared" ref="AZ54" si="95">ROUND(AC54/(AP54/15),0)</f>
        <v>6</v>
      </c>
      <c r="BA54" s="17">
        <f t="shared" ref="BA54" si="96">ROUND(AF54/(AQ54/15),0)</f>
        <v>9</v>
      </c>
    </row>
    <row r="55" spans="1:53" ht="15.6" x14ac:dyDescent="0.3">
      <c r="A55" s="199" t="s">
        <v>21</v>
      </c>
      <c r="B55" s="257">
        <v>44013</v>
      </c>
      <c r="C55" s="233">
        <v>44074</v>
      </c>
      <c r="D55" s="95">
        <v>1040</v>
      </c>
      <c r="E55" s="96">
        <v>1460</v>
      </c>
      <c r="F55" s="97">
        <v>0</v>
      </c>
      <c r="G55" s="95">
        <v>2540</v>
      </c>
      <c r="H55" s="96">
        <v>3800</v>
      </c>
      <c r="I55" s="97">
        <v>0</v>
      </c>
      <c r="J55" s="95">
        <v>2170</v>
      </c>
      <c r="K55" s="96">
        <v>2690</v>
      </c>
      <c r="L55" s="97">
        <v>0</v>
      </c>
      <c r="M55" s="95">
        <v>2136</v>
      </c>
      <c r="N55" s="96">
        <v>2632</v>
      </c>
      <c r="O55" s="97">
        <v>0</v>
      </c>
      <c r="P55" s="95">
        <v>1500</v>
      </c>
      <c r="Q55" s="96">
        <v>1747</v>
      </c>
      <c r="R55" s="97">
        <v>0</v>
      </c>
      <c r="S55" s="95">
        <v>1095</v>
      </c>
      <c r="T55" s="96">
        <v>615</v>
      </c>
      <c r="U55" s="97">
        <v>0</v>
      </c>
      <c r="V55" s="95">
        <v>1200</v>
      </c>
      <c r="W55" s="96">
        <v>2130</v>
      </c>
      <c r="X55" s="97">
        <v>0</v>
      </c>
      <c r="Y55" s="95">
        <v>710</v>
      </c>
      <c r="Z55" s="96">
        <v>1070</v>
      </c>
      <c r="AA55" s="97">
        <v>0</v>
      </c>
      <c r="AB55" s="95">
        <v>1000</v>
      </c>
      <c r="AC55" s="96">
        <v>1060</v>
      </c>
      <c r="AD55" s="97">
        <v>0</v>
      </c>
      <c r="AE55" s="95">
        <v>660</v>
      </c>
      <c r="AF55" s="96">
        <v>2240</v>
      </c>
      <c r="AG55" s="97">
        <v>0</v>
      </c>
      <c r="AH55" s="265">
        <f>+Janvier!AJ55</f>
        <v>1099.4093406593406</v>
      </c>
      <c r="AI55" s="231">
        <f>+Janvier!AK55</f>
        <v>3420.3846153846152</v>
      </c>
      <c r="AJ55" s="231">
        <f>+Janvier!AL55</f>
        <v>2565.2884615384614</v>
      </c>
      <c r="AK55" s="231">
        <f>+Janvier!AM55</f>
        <v>2565.2884615384614</v>
      </c>
      <c r="AL55" s="231">
        <f>+Janvier!AN55</f>
        <v>1554.7202797202797</v>
      </c>
      <c r="AM55" s="231">
        <f>+Janvier!AO55</f>
        <v>961.98317307692309</v>
      </c>
      <c r="AN55" s="231">
        <f>+Janvier!AP55</f>
        <v>1923.9663461538462</v>
      </c>
      <c r="AO55" s="231">
        <f>+Janvier!AQ55</f>
        <v>961.98317307692309</v>
      </c>
      <c r="AP55" s="231">
        <f>+Janvier!AR55</f>
        <v>961.98317307692309</v>
      </c>
      <c r="AQ55" s="231">
        <f>+Janvier!AS55</f>
        <v>1710.1923076923076</v>
      </c>
      <c r="AR55" s="16">
        <f t="shared" ref="AR55:AR67" si="97">ROUND(E55/(AH55/5),0)</f>
        <v>7</v>
      </c>
      <c r="AS55" s="16">
        <f t="shared" ref="AS55:AS67" si="98">ROUND(H55/(AI55/5),0)</f>
        <v>6</v>
      </c>
      <c r="AT55" s="16">
        <f t="shared" ref="AT55:AT67" si="99">ROUND(K55/(AJ55/5),0)</f>
        <v>5</v>
      </c>
      <c r="AU55" s="16">
        <f t="shared" ref="AU55:AU67" si="100">ROUND(N55/(AK55/5),0)</f>
        <v>5</v>
      </c>
      <c r="AV55" s="16">
        <f t="shared" ref="AV55:AV67" si="101">ROUND(Q55/(AL55/5),0)</f>
        <v>6</v>
      </c>
      <c r="AW55" s="16">
        <f t="shared" ref="AW55:AW67" si="102">ROUND(T55/(AM55/5),0)</f>
        <v>3</v>
      </c>
      <c r="AX55" s="16">
        <f t="shared" ref="AX55:AX67" si="103">ROUND(W55/(AN55/5),0)</f>
        <v>6</v>
      </c>
      <c r="AY55" s="16">
        <f t="shared" ref="AY55:AY67" si="104">ROUND(Z55/(AO55/5),0)</f>
        <v>6</v>
      </c>
      <c r="AZ55" s="16">
        <f t="shared" ref="AZ55:AZ67" si="105">ROUND(AC55/(AP55/5),0)</f>
        <v>6</v>
      </c>
      <c r="BA55" s="17">
        <f t="shared" ref="BA55:BA67" si="106">ROUND(AF55/(AQ55/5),0)</f>
        <v>7</v>
      </c>
    </row>
    <row r="56" spans="1:53" ht="15.6" x14ac:dyDescent="0.3">
      <c r="A56" s="199" t="s">
        <v>22</v>
      </c>
      <c r="B56" s="257">
        <v>44013</v>
      </c>
      <c r="C56" s="233">
        <v>44074</v>
      </c>
      <c r="D56" s="95">
        <v>0</v>
      </c>
      <c r="E56" s="96">
        <v>500</v>
      </c>
      <c r="F56" s="97">
        <v>0</v>
      </c>
      <c r="G56" s="95">
        <v>0</v>
      </c>
      <c r="H56" s="96">
        <v>1860</v>
      </c>
      <c r="I56" s="97">
        <v>0</v>
      </c>
      <c r="J56" s="95">
        <v>0</v>
      </c>
      <c r="K56" s="96">
        <v>1500</v>
      </c>
      <c r="L56" s="97">
        <v>0</v>
      </c>
      <c r="M56" s="95">
        <v>0</v>
      </c>
      <c r="N56" s="96">
        <v>1488</v>
      </c>
      <c r="O56" s="97">
        <v>0</v>
      </c>
      <c r="P56" s="95">
        <v>0</v>
      </c>
      <c r="Q56" s="96">
        <v>620</v>
      </c>
      <c r="R56" s="97">
        <v>0</v>
      </c>
      <c r="S56" s="95">
        <v>0</v>
      </c>
      <c r="T56" s="96">
        <v>740</v>
      </c>
      <c r="U56" s="97">
        <v>0</v>
      </c>
      <c r="V56" s="95">
        <v>0</v>
      </c>
      <c r="W56" s="96">
        <v>800</v>
      </c>
      <c r="X56" s="97">
        <v>0</v>
      </c>
      <c r="Y56" s="95">
        <v>0</v>
      </c>
      <c r="Z56" s="96">
        <v>520</v>
      </c>
      <c r="AA56" s="97">
        <v>0</v>
      </c>
      <c r="AB56" s="95">
        <v>0</v>
      </c>
      <c r="AC56" s="96">
        <v>450</v>
      </c>
      <c r="AD56" s="97">
        <v>0</v>
      </c>
      <c r="AE56" s="95">
        <v>0</v>
      </c>
      <c r="AF56" s="96">
        <v>800</v>
      </c>
      <c r="AG56" s="97">
        <v>0</v>
      </c>
      <c r="AH56" s="265">
        <f>+Janvier!AJ56</f>
        <v>434.54670329670336</v>
      </c>
      <c r="AI56" s="231">
        <f>+Janvier!AK56</f>
        <v>1351.9230769230767</v>
      </c>
      <c r="AJ56" s="231">
        <f>+Janvier!AL56</f>
        <v>1013.9423076923077</v>
      </c>
      <c r="AK56" s="231">
        <f>+Janvier!AM56</f>
        <v>1013.9423076923077</v>
      </c>
      <c r="AL56" s="231">
        <f>+Janvier!AN56</f>
        <v>614.51048951048949</v>
      </c>
      <c r="AM56" s="231">
        <f>+Janvier!AO56</f>
        <v>380.22836538461542</v>
      </c>
      <c r="AN56" s="231">
        <f>+Janvier!AP56</f>
        <v>760.45673076923083</v>
      </c>
      <c r="AO56" s="231">
        <f>+Janvier!AQ56</f>
        <v>380.22836538461542</v>
      </c>
      <c r="AP56" s="231">
        <f>+Janvier!AR56</f>
        <v>380.22836538461542</v>
      </c>
      <c r="AQ56" s="231">
        <f>+Janvier!AS56</f>
        <v>675.96153846153834</v>
      </c>
      <c r="AR56" s="16">
        <f t="shared" si="97"/>
        <v>6</v>
      </c>
      <c r="AS56" s="16">
        <f t="shared" si="98"/>
        <v>7</v>
      </c>
      <c r="AT56" s="16">
        <f t="shared" si="99"/>
        <v>7</v>
      </c>
      <c r="AU56" s="16">
        <f t="shared" si="100"/>
        <v>7</v>
      </c>
      <c r="AV56" s="16">
        <f t="shared" si="101"/>
        <v>5</v>
      </c>
      <c r="AW56" s="16">
        <f t="shared" si="102"/>
        <v>10</v>
      </c>
      <c r="AX56" s="16">
        <f t="shared" si="103"/>
        <v>5</v>
      </c>
      <c r="AY56" s="16">
        <f t="shared" si="104"/>
        <v>7</v>
      </c>
      <c r="AZ56" s="16">
        <f t="shared" si="105"/>
        <v>6</v>
      </c>
      <c r="BA56" s="17">
        <f t="shared" si="106"/>
        <v>6</v>
      </c>
    </row>
    <row r="57" spans="1:53" ht="15.6" x14ac:dyDescent="0.3">
      <c r="A57" s="199" t="s">
        <v>25</v>
      </c>
      <c r="B57" s="257">
        <v>44013</v>
      </c>
      <c r="C57" s="233">
        <v>44074</v>
      </c>
      <c r="D57" s="95">
        <v>880</v>
      </c>
      <c r="E57" s="96">
        <v>960</v>
      </c>
      <c r="F57" s="97">
        <v>0</v>
      </c>
      <c r="G57" s="95">
        <v>2280</v>
      </c>
      <c r="H57" s="96">
        <v>1940</v>
      </c>
      <c r="I57" s="97">
        <v>0</v>
      </c>
      <c r="J57" s="95">
        <v>1670</v>
      </c>
      <c r="K57" s="96">
        <v>1430</v>
      </c>
      <c r="L57" s="97">
        <v>0</v>
      </c>
      <c r="M57" s="95">
        <v>1660</v>
      </c>
      <c r="N57" s="96">
        <v>1436</v>
      </c>
      <c r="O57" s="97">
        <v>0</v>
      </c>
      <c r="P57" s="95">
        <v>1150</v>
      </c>
      <c r="Q57" s="96">
        <v>915</v>
      </c>
      <c r="R57" s="97">
        <v>0</v>
      </c>
      <c r="S57" s="95">
        <v>580</v>
      </c>
      <c r="T57" s="96">
        <v>480</v>
      </c>
      <c r="U57" s="97">
        <v>0</v>
      </c>
      <c r="V57" s="95">
        <v>910</v>
      </c>
      <c r="W57" s="96">
        <v>1040</v>
      </c>
      <c r="X57" s="97">
        <v>0</v>
      </c>
      <c r="Y57" s="95">
        <v>580</v>
      </c>
      <c r="Z57" s="96">
        <v>570</v>
      </c>
      <c r="AA57" s="97">
        <v>0</v>
      </c>
      <c r="AB57" s="95">
        <v>700</v>
      </c>
      <c r="AC57" s="96">
        <v>570</v>
      </c>
      <c r="AD57" s="97">
        <v>0</v>
      </c>
      <c r="AE57" s="95">
        <v>1150</v>
      </c>
      <c r="AF57" s="96">
        <v>920</v>
      </c>
      <c r="AG57" s="97">
        <v>0</v>
      </c>
      <c r="AH57" s="265">
        <f>+Janvier!AJ57</f>
        <v>816.30494505494516</v>
      </c>
      <c r="AI57" s="231">
        <f>+Janvier!AK57</f>
        <v>2539.6153846153848</v>
      </c>
      <c r="AJ57" s="231">
        <f>+Janvier!AL57</f>
        <v>1904.7115384615383</v>
      </c>
      <c r="AK57" s="231">
        <f>+Janvier!AM57</f>
        <v>1904.7115384615383</v>
      </c>
      <c r="AL57" s="231">
        <f>+Janvier!AN57</f>
        <v>1154.3706293706296</v>
      </c>
      <c r="AM57" s="231">
        <f>+Janvier!AO57</f>
        <v>714.26682692307691</v>
      </c>
      <c r="AN57" s="231">
        <f>+Janvier!AP57</f>
        <v>1428.5336538461538</v>
      </c>
      <c r="AO57" s="231">
        <f>+Janvier!AQ57</f>
        <v>714.26682692307691</v>
      </c>
      <c r="AP57" s="231">
        <f>+Janvier!AR57</f>
        <v>714.26682692307691</v>
      </c>
      <c r="AQ57" s="231">
        <f>+Janvier!AS57</f>
        <v>1269.8076923076924</v>
      </c>
      <c r="AR57" s="16">
        <f t="shared" si="97"/>
        <v>6</v>
      </c>
      <c r="AS57" s="16">
        <f t="shared" si="98"/>
        <v>4</v>
      </c>
      <c r="AT57" s="16">
        <f t="shared" si="99"/>
        <v>4</v>
      </c>
      <c r="AU57" s="16">
        <f t="shared" si="100"/>
        <v>4</v>
      </c>
      <c r="AV57" s="16">
        <f t="shared" si="101"/>
        <v>4</v>
      </c>
      <c r="AW57" s="16">
        <f t="shared" si="102"/>
        <v>3</v>
      </c>
      <c r="AX57" s="16">
        <f t="shared" si="103"/>
        <v>4</v>
      </c>
      <c r="AY57" s="16">
        <f t="shared" si="104"/>
        <v>4</v>
      </c>
      <c r="AZ57" s="16">
        <f t="shared" si="105"/>
        <v>4</v>
      </c>
      <c r="BA57" s="17">
        <f t="shared" si="106"/>
        <v>4</v>
      </c>
    </row>
    <row r="58" spans="1:53" ht="15.6" x14ac:dyDescent="0.3">
      <c r="A58" s="199" t="s">
        <v>23</v>
      </c>
      <c r="B58" s="257">
        <v>44013</v>
      </c>
      <c r="C58" s="233">
        <v>44074</v>
      </c>
      <c r="D58" s="95">
        <v>0</v>
      </c>
      <c r="E58" s="96">
        <v>1200</v>
      </c>
      <c r="F58" s="97">
        <v>0</v>
      </c>
      <c r="G58" s="95">
        <v>0</v>
      </c>
      <c r="H58" s="96">
        <v>2480</v>
      </c>
      <c r="I58" s="97">
        <v>0</v>
      </c>
      <c r="J58" s="95">
        <v>0</v>
      </c>
      <c r="K58" s="96">
        <v>3310</v>
      </c>
      <c r="L58" s="97">
        <v>0</v>
      </c>
      <c r="M58" s="95">
        <v>0</v>
      </c>
      <c r="N58" s="96">
        <v>3328</v>
      </c>
      <c r="O58" s="97">
        <v>0</v>
      </c>
      <c r="P58" s="95">
        <v>0</v>
      </c>
      <c r="Q58" s="96">
        <v>1618</v>
      </c>
      <c r="R58" s="97">
        <v>0</v>
      </c>
      <c r="S58" s="95">
        <v>0</v>
      </c>
      <c r="T58" s="96">
        <v>920</v>
      </c>
      <c r="U58" s="97">
        <v>0</v>
      </c>
      <c r="V58" s="95">
        <v>0</v>
      </c>
      <c r="W58" s="96">
        <v>2000</v>
      </c>
      <c r="X58" s="97">
        <v>0</v>
      </c>
      <c r="Y58" s="95">
        <v>0</v>
      </c>
      <c r="Z58" s="96">
        <v>960</v>
      </c>
      <c r="AA58" s="97">
        <v>0</v>
      </c>
      <c r="AB58" s="95">
        <v>0</v>
      </c>
      <c r="AC58" s="96">
        <v>940</v>
      </c>
      <c r="AD58" s="97">
        <v>0</v>
      </c>
      <c r="AE58" s="95">
        <v>0</v>
      </c>
      <c r="AF58" s="96">
        <v>1870</v>
      </c>
      <c r="AG58" s="97">
        <v>0</v>
      </c>
      <c r="AH58" s="265">
        <f>+Janvier!AJ58</f>
        <v>510.08241758241758</v>
      </c>
      <c r="AI58" s="231">
        <f>+Janvier!AK58</f>
        <v>1586.9230769230767</v>
      </c>
      <c r="AJ58" s="231">
        <f>+Janvier!AL58</f>
        <v>1190.1923076923078</v>
      </c>
      <c r="AK58" s="231">
        <f>+Janvier!AM58</f>
        <v>1190.1923076923078</v>
      </c>
      <c r="AL58" s="231">
        <f>+Janvier!AN58</f>
        <v>721.32867132867148</v>
      </c>
      <c r="AM58" s="231">
        <f>+Janvier!AO58</f>
        <v>446.32211538461542</v>
      </c>
      <c r="AN58" s="231">
        <f>+Janvier!AP58</f>
        <v>892.64423076923083</v>
      </c>
      <c r="AO58" s="231">
        <f>+Janvier!AQ58</f>
        <v>446.32211538461542</v>
      </c>
      <c r="AP58" s="231">
        <f>+Janvier!AR58</f>
        <v>446.32211538461542</v>
      </c>
      <c r="AQ58" s="231">
        <f>+Janvier!AS58</f>
        <v>793.46153846153834</v>
      </c>
      <c r="AR58" s="16">
        <f t="shared" si="97"/>
        <v>12</v>
      </c>
      <c r="AS58" s="16">
        <f t="shared" si="98"/>
        <v>8</v>
      </c>
      <c r="AT58" s="16">
        <f t="shared" si="99"/>
        <v>14</v>
      </c>
      <c r="AU58" s="16">
        <f t="shared" si="100"/>
        <v>14</v>
      </c>
      <c r="AV58" s="16">
        <f t="shared" si="101"/>
        <v>11</v>
      </c>
      <c r="AW58" s="16">
        <f t="shared" si="102"/>
        <v>10</v>
      </c>
      <c r="AX58" s="16">
        <f t="shared" si="103"/>
        <v>11</v>
      </c>
      <c r="AY58" s="16">
        <f t="shared" si="104"/>
        <v>11</v>
      </c>
      <c r="AZ58" s="16">
        <f t="shared" si="105"/>
        <v>11</v>
      </c>
      <c r="BA58" s="17">
        <f t="shared" si="106"/>
        <v>12</v>
      </c>
    </row>
    <row r="59" spans="1:53" ht="15.6" x14ac:dyDescent="0.3">
      <c r="A59" s="199" t="s">
        <v>24</v>
      </c>
      <c r="B59" s="257">
        <v>44013</v>
      </c>
      <c r="C59" s="233">
        <v>44074</v>
      </c>
      <c r="D59" s="95">
        <v>500</v>
      </c>
      <c r="E59" s="96">
        <v>720</v>
      </c>
      <c r="F59" s="97">
        <v>0</v>
      </c>
      <c r="G59" s="95">
        <v>1800</v>
      </c>
      <c r="H59" s="96">
        <v>1920</v>
      </c>
      <c r="I59" s="97">
        <v>0</v>
      </c>
      <c r="J59" s="95">
        <v>950</v>
      </c>
      <c r="K59" s="96">
        <v>1440</v>
      </c>
      <c r="L59" s="97">
        <v>0</v>
      </c>
      <c r="M59" s="95">
        <v>1132</v>
      </c>
      <c r="N59" s="96">
        <v>1448</v>
      </c>
      <c r="O59" s="97">
        <v>0</v>
      </c>
      <c r="P59" s="95">
        <v>1000</v>
      </c>
      <c r="Q59" s="96">
        <v>887</v>
      </c>
      <c r="R59" s="97">
        <v>0</v>
      </c>
      <c r="S59" s="95">
        <v>400</v>
      </c>
      <c r="T59" s="96">
        <v>480</v>
      </c>
      <c r="U59" s="97">
        <v>0</v>
      </c>
      <c r="V59" s="95">
        <v>1200</v>
      </c>
      <c r="W59" s="96">
        <v>1090</v>
      </c>
      <c r="X59" s="97">
        <v>0</v>
      </c>
      <c r="Y59" s="95">
        <v>500</v>
      </c>
      <c r="Z59" s="96">
        <v>640</v>
      </c>
      <c r="AA59" s="97">
        <v>0</v>
      </c>
      <c r="AB59" s="95">
        <v>500</v>
      </c>
      <c r="AC59" s="96">
        <v>310</v>
      </c>
      <c r="AD59" s="97">
        <v>0</v>
      </c>
      <c r="AE59" s="95">
        <v>650</v>
      </c>
      <c r="AF59" s="96">
        <v>1010</v>
      </c>
      <c r="AG59" s="97">
        <v>0</v>
      </c>
      <c r="AH59" s="265">
        <f>+Janvier!AJ59</f>
        <v>646.8131868131868</v>
      </c>
      <c r="AI59" s="231">
        <f>+Janvier!AK59</f>
        <v>2012.3076923076924</v>
      </c>
      <c r="AJ59" s="231">
        <f>+Janvier!AL59</f>
        <v>1509.2307692307693</v>
      </c>
      <c r="AK59" s="231">
        <f>+Janvier!AM59</f>
        <v>1509.2307692307693</v>
      </c>
      <c r="AL59" s="231">
        <f>+Janvier!AN59</f>
        <v>914.68531468531478</v>
      </c>
      <c r="AM59" s="231">
        <f>+Janvier!AO59</f>
        <v>565.96153846153845</v>
      </c>
      <c r="AN59" s="231">
        <f>+Janvier!AP59</f>
        <v>1131.9230769230769</v>
      </c>
      <c r="AO59" s="231">
        <f>+Janvier!AQ59</f>
        <v>565.96153846153845</v>
      </c>
      <c r="AP59" s="231">
        <f>+Janvier!AR59</f>
        <v>565.96153846153845</v>
      </c>
      <c r="AQ59" s="231">
        <f>+Janvier!AS59</f>
        <v>1006.1538461538462</v>
      </c>
      <c r="AR59" s="16">
        <f t="shared" si="97"/>
        <v>6</v>
      </c>
      <c r="AS59" s="16">
        <f t="shared" si="98"/>
        <v>5</v>
      </c>
      <c r="AT59" s="16">
        <f t="shared" si="99"/>
        <v>5</v>
      </c>
      <c r="AU59" s="16">
        <f t="shared" si="100"/>
        <v>5</v>
      </c>
      <c r="AV59" s="16">
        <f t="shared" si="101"/>
        <v>5</v>
      </c>
      <c r="AW59" s="16">
        <f t="shared" si="102"/>
        <v>4</v>
      </c>
      <c r="AX59" s="16">
        <f t="shared" si="103"/>
        <v>5</v>
      </c>
      <c r="AY59" s="16">
        <f t="shared" si="104"/>
        <v>6</v>
      </c>
      <c r="AZ59" s="16">
        <f t="shared" si="105"/>
        <v>3</v>
      </c>
      <c r="BA59" s="17">
        <f t="shared" si="106"/>
        <v>5</v>
      </c>
    </row>
    <row r="60" spans="1:53" ht="15.6" x14ac:dyDescent="0.3">
      <c r="A60" s="199" t="s">
        <v>26</v>
      </c>
      <c r="B60" s="257">
        <v>44013</v>
      </c>
      <c r="C60" s="233">
        <v>44074</v>
      </c>
      <c r="D60" s="95">
        <v>2300</v>
      </c>
      <c r="E60" s="96">
        <v>2540</v>
      </c>
      <c r="F60" s="97">
        <v>0</v>
      </c>
      <c r="G60" s="95">
        <v>6000</v>
      </c>
      <c r="H60" s="96">
        <v>7720</v>
      </c>
      <c r="I60" s="97">
        <v>0</v>
      </c>
      <c r="J60" s="95">
        <v>4400</v>
      </c>
      <c r="K60" s="96">
        <v>5720</v>
      </c>
      <c r="L60" s="97">
        <v>0</v>
      </c>
      <c r="M60" s="95">
        <v>4200</v>
      </c>
      <c r="N60" s="96">
        <v>5612</v>
      </c>
      <c r="O60" s="97">
        <v>0</v>
      </c>
      <c r="P60" s="95">
        <v>2550</v>
      </c>
      <c r="Q60" s="96">
        <v>3455</v>
      </c>
      <c r="R60" s="97">
        <v>0</v>
      </c>
      <c r="S60" s="95">
        <v>1650</v>
      </c>
      <c r="T60" s="96">
        <v>1915</v>
      </c>
      <c r="U60" s="97">
        <v>0</v>
      </c>
      <c r="V60" s="95">
        <v>3000</v>
      </c>
      <c r="W60" s="96">
        <v>3830</v>
      </c>
      <c r="X60" s="97">
        <v>0</v>
      </c>
      <c r="Y60" s="95">
        <v>1500</v>
      </c>
      <c r="Z60" s="96">
        <v>2160</v>
      </c>
      <c r="AA60" s="97">
        <v>0</v>
      </c>
      <c r="AB60" s="95">
        <v>2200</v>
      </c>
      <c r="AC60" s="96">
        <v>2130</v>
      </c>
      <c r="AD60" s="97">
        <v>0</v>
      </c>
      <c r="AE60" s="95">
        <v>2500</v>
      </c>
      <c r="AF60" s="96">
        <v>3140</v>
      </c>
      <c r="AG60" s="97">
        <v>0</v>
      </c>
      <c r="AH60" s="265">
        <f>+Janvier!AJ60</f>
        <v>2337.1565934065934</v>
      </c>
      <c r="AI60" s="231">
        <f>+Janvier!AK60</f>
        <v>7271.1538461538466</v>
      </c>
      <c r="AJ60" s="231">
        <f>+Janvier!AL60</f>
        <v>5453.3653846153848</v>
      </c>
      <c r="AK60" s="231">
        <f>+Janvier!AM60</f>
        <v>5453.3653846153848</v>
      </c>
      <c r="AL60" s="231">
        <f>+Janvier!AN60</f>
        <v>3305.0699300699303</v>
      </c>
      <c r="AM60" s="231">
        <f>+Janvier!AO60</f>
        <v>2045.0120192307693</v>
      </c>
      <c r="AN60" s="231">
        <f>+Janvier!AP60</f>
        <v>4090.0240384615386</v>
      </c>
      <c r="AO60" s="231">
        <f>+Janvier!AQ60</f>
        <v>2045.0120192307693</v>
      </c>
      <c r="AP60" s="231">
        <f>+Janvier!AR60</f>
        <v>2045.0120192307693</v>
      </c>
      <c r="AQ60" s="231">
        <f>+Janvier!AS60</f>
        <v>3635.5769230769233</v>
      </c>
      <c r="AR60" s="16">
        <f t="shared" si="97"/>
        <v>5</v>
      </c>
      <c r="AS60" s="16">
        <f t="shared" si="98"/>
        <v>5</v>
      </c>
      <c r="AT60" s="16">
        <f t="shared" si="99"/>
        <v>5</v>
      </c>
      <c r="AU60" s="16">
        <f t="shared" si="100"/>
        <v>5</v>
      </c>
      <c r="AV60" s="16">
        <f t="shared" si="101"/>
        <v>5</v>
      </c>
      <c r="AW60" s="16">
        <f t="shared" si="102"/>
        <v>5</v>
      </c>
      <c r="AX60" s="16">
        <f t="shared" si="103"/>
        <v>5</v>
      </c>
      <c r="AY60" s="16">
        <f t="shared" si="104"/>
        <v>5</v>
      </c>
      <c r="AZ60" s="16">
        <f t="shared" si="105"/>
        <v>5</v>
      </c>
      <c r="BA60" s="17">
        <f t="shared" si="106"/>
        <v>4</v>
      </c>
    </row>
    <row r="61" spans="1:53" ht="15.6" x14ac:dyDescent="0.3">
      <c r="A61" s="199" t="s">
        <v>27</v>
      </c>
      <c r="B61" s="257">
        <v>44013</v>
      </c>
      <c r="C61" s="233">
        <v>44074</v>
      </c>
      <c r="D61" s="95">
        <v>1440</v>
      </c>
      <c r="E61" s="96">
        <v>2000</v>
      </c>
      <c r="F61" s="97">
        <v>0</v>
      </c>
      <c r="G61" s="95">
        <v>3580</v>
      </c>
      <c r="H61" s="96">
        <v>5380</v>
      </c>
      <c r="I61" s="97">
        <v>0</v>
      </c>
      <c r="J61" s="95">
        <v>2680</v>
      </c>
      <c r="K61" s="96">
        <v>4040</v>
      </c>
      <c r="L61" s="97">
        <v>0</v>
      </c>
      <c r="M61" s="95">
        <v>2620</v>
      </c>
      <c r="N61" s="96">
        <v>4032</v>
      </c>
      <c r="O61" s="97">
        <v>0</v>
      </c>
      <c r="P61" s="95">
        <v>1800</v>
      </c>
      <c r="Q61" s="96">
        <v>2580</v>
      </c>
      <c r="R61" s="97">
        <v>0</v>
      </c>
      <c r="S61" s="95">
        <v>910</v>
      </c>
      <c r="T61" s="96">
        <v>1350</v>
      </c>
      <c r="U61" s="97">
        <v>0</v>
      </c>
      <c r="V61" s="95">
        <v>1810</v>
      </c>
      <c r="W61" s="96">
        <v>3000</v>
      </c>
      <c r="X61" s="97">
        <v>0</v>
      </c>
      <c r="Y61" s="95">
        <v>1040</v>
      </c>
      <c r="Z61" s="96">
        <v>1300</v>
      </c>
      <c r="AA61" s="97">
        <v>0</v>
      </c>
      <c r="AB61" s="95">
        <v>1300</v>
      </c>
      <c r="AC61" s="96">
        <v>1500</v>
      </c>
      <c r="AD61" s="97">
        <v>0</v>
      </c>
      <c r="AE61" s="95">
        <v>1550</v>
      </c>
      <c r="AF61" s="96">
        <v>3350</v>
      </c>
      <c r="AG61" s="97">
        <v>0</v>
      </c>
      <c r="AH61" s="265">
        <f>+Janvier!AJ61</f>
        <v>1836.5934065934064</v>
      </c>
      <c r="AI61" s="231">
        <f>+Janvier!AK61</f>
        <v>5713.8461538461534</v>
      </c>
      <c r="AJ61" s="231">
        <f>+Janvier!AL61</f>
        <v>4285.3846153846152</v>
      </c>
      <c r="AK61" s="231">
        <f>+Janvier!AM61</f>
        <v>4285.3846153846152</v>
      </c>
      <c r="AL61" s="231">
        <f>+Janvier!AN61</f>
        <v>2597.2027972027972</v>
      </c>
      <c r="AM61" s="231">
        <f>+Janvier!AO61</f>
        <v>1607.0192307692307</v>
      </c>
      <c r="AN61" s="231">
        <f>+Janvier!AP61</f>
        <v>3214.0384615384614</v>
      </c>
      <c r="AO61" s="231">
        <f>+Janvier!AQ61</f>
        <v>1607.0192307692307</v>
      </c>
      <c r="AP61" s="231">
        <f>+Janvier!AR61</f>
        <v>1607.0192307692307</v>
      </c>
      <c r="AQ61" s="231">
        <f>+Janvier!AS61</f>
        <v>2856.9230769230767</v>
      </c>
      <c r="AR61" s="16">
        <f t="shared" si="97"/>
        <v>5</v>
      </c>
      <c r="AS61" s="16">
        <f t="shared" si="98"/>
        <v>5</v>
      </c>
      <c r="AT61" s="16">
        <f t="shared" si="99"/>
        <v>5</v>
      </c>
      <c r="AU61" s="16">
        <f t="shared" si="100"/>
        <v>5</v>
      </c>
      <c r="AV61" s="16">
        <f t="shared" si="101"/>
        <v>5</v>
      </c>
      <c r="AW61" s="16">
        <f t="shared" si="102"/>
        <v>4</v>
      </c>
      <c r="AX61" s="16">
        <f t="shared" si="103"/>
        <v>5</v>
      </c>
      <c r="AY61" s="16">
        <f t="shared" si="104"/>
        <v>4</v>
      </c>
      <c r="AZ61" s="16">
        <f t="shared" si="105"/>
        <v>5</v>
      </c>
      <c r="BA61" s="17">
        <f t="shared" si="106"/>
        <v>6</v>
      </c>
    </row>
    <row r="62" spans="1:53" ht="15.6" x14ac:dyDescent="0.3">
      <c r="A62" s="199" t="s">
        <v>28</v>
      </c>
      <c r="B62" s="257">
        <v>44013</v>
      </c>
      <c r="C62" s="233">
        <v>44074</v>
      </c>
      <c r="D62" s="95">
        <v>3020</v>
      </c>
      <c r="E62" s="98">
        <v>3420</v>
      </c>
      <c r="F62" s="97">
        <v>0</v>
      </c>
      <c r="G62" s="99">
        <v>10000</v>
      </c>
      <c r="H62" s="98">
        <v>10920</v>
      </c>
      <c r="I62" s="97">
        <v>0</v>
      </c>
      <c r="J62" s="99">
        <v>6920</v>
      </c>
      <c r="K62" s="98">
        <v>8120</v>
      </c>
      <c r="L62" s="97">
        <v>0</v>
      </c>
      <c r="M62" s="99">
        <v>5284</v>
      </c>
      <c r="N62" s="98">
        <v>8192</v>
      </c>
      <c r="O62" s="97">
        <v>0</v>
      </c>
      <c r="P62" s="99">
        <v>3600</v>
      </c>
      <c r="Q62" s="98">
        <v>5245</v>
      </c>
      <c r="R62" s="97">
        <v>0</v>
      </c>
      <c r="S62" s="99">
        <v>1340</v>
      </c>
      <c r="T62" s="98">
        <v>2760</v>
      </c>
      <c r="U62" s="97">
        <v>0</v>
      </c>
      <c r="V62" s="99">
        <v>4000</v>
      </c>
      <c r="W62" s="98">
        <v>6500</v>
      </c>
      <c r="X62" s="97">
        <v>0</v>
      </c>
      <c r="Y62" s="99">
        <v>2200</v>
      </c>
      <c r="Z62" s="98">
        <v>3280</v>
      </c>
      <c r="AA62" s="97">
        <v>0</v>
      </c>
      <c r="AB62" s="95">
        <v>2650</v>
      </c>
      <c r="AC62" s="98">
        <v>3200</v>
      </c>
      <c r="AD62" s="100">
        <v>0</v>
      </c>
      <c r="AE62" s="99">
        <v>2870</v>
      </c>
      <c r="AF62" s="98">
        <v>5740</v>
      </c>
      <c r="AG62" s="97">
        <v>0</v>
      </c>
      <c r="AH62" s="265">
        <f>+Janvier!AJ62</f>
        <v>3546.2225274725279</v>
      </c>
      <c r="AI62" s="231">
        <f>+Janvier!AK62</f>
        <v>11032.692307692307</v>
      </c>
      <c r="AJ62" s="231">
        <f>+Janvier!AL62</f>
        <v>8274.5192307692305</v>
      </c>
      <c r="AK62" s="231">
        <f>+Janvier!AM62</f>
        <v>8274.5192307692305</v>
      </c>
      <c r="AL62" s="231">
        <f>+Janvier!AN62</f>
        <v>5014.8601398601395</v>
      </c>
      <c r="AM62" s="231">
        <f>+Janvier!AO62</f>
        <v>3102.9447115384614</v>
      </c>
      <c r="AN62" s="231">
        <f>+Janvier!AP62</f>
        <v>6205.8894230769229</v>
      </c>
      <c r="AO62" s="231">
        <f>+Janvier!AQ62</f>
        <v>3102.9447115384614</v>
      </c>
      <c r="AP62" s="231">
        <f>+Janvier!AR62</f>
        <v>3102.9447115384614</v>
      </c>
      <c r="AQ62" s="231">
        <f>+Janvier!AS62</f>
        <v>5516.3461538461534</v>
      </c>
      <c r="AR62" s="16">
        <f t="shared" si="97"/>
        <v>5</v>
      </c>
      <c r="AS62" s="16">
        <f t="shared" si="98"/>
        <v>5</v>
      </c>
      <c r="AT62" s="16">
        <f t="shared" si="99"/>
        <v>5</v>
      </c>
      <c r="AU62" s="16">
        <f t="shared" si="100"/>
        <v>5</v>
      </c>
      <c r="AV62" s="16">
        <f t="shared" si="101"/>
        <v>5</v>
      </c>
      <c r="AW62" s="16">
        <f t="shared" si="102"/>
        <v>4</v>
      </c>
      <c r="AX62" s="16">
        <f t="shared" si="103"/>
        <v>5</v>
      </c>
      <c r="AY62" s="16">
        <f t="shared" si="104"/>
        <v>5</v>
      </c>
      <c r="AZ62" s="16">
        <f t="shared" si="105"/>
        <v>5</v>
      </c>
      <c r="BA62" s="17">
        <f t="shared" si="106"/>
        <v>5</v>
      </c>
    </row>
    <row r="63" spans="1:53" ht="15.6" x14ac:dyDescent="0.3">
      <c r="A63" s="199" t="s">
        <v>29</v>
      </c>
      <c r="B63" s="257">
        <v>44013</v>
      </c>
      <c r="C63" s="233">
        <v>44074</v>
      </c>
      <c r="D63" s="95">
        <v>2000</v>
      </c>
      <c r="E63" s="98">
        <v>3080</v>
      </c>
      <c r="F63" s="97">
        <v>0</v>
      </c>
      <c r="G63" s="99">
        <v>3500</v>
      </c>
      <c r="H63" s="98">
        <v>8820</v>
      </c>
      <c r="I63" s="97">
        <v>0</v>
      </c>
      <c r="J63" s="99">
        <v>3000</v>
      </c>
      <c r="K63" s="98">
        <v>6530</v>
      </c>
      <c r="L63" s="97">
        <v>0</v>
      </c>
      <c r="M63" s="99">
        <v>2800</v>
      </c>
      <c r="N63" s="98">
        <v>6600</v>
      </c>
      <c r="O63" s="97">
        <v>0</v>
      </c>
      <c r="P63" s="99">
        <v>1900</v>
      </c>
      <c r="Q63" s="98">
        <v>4150</v>
      </c>
      <c r="R63" s="97">
        <v>0</v>
      </c>
      <c r="S63" s="99">
        <v>1700</v>
      </c>
      <c r="T63" s="98">
        <v>2130</v>
      </c>
      <c r="U63" s="97">
        <v>0</v>
      </c>
      <c r="V63" s="99">
        <v>2500</v>
      </c>
      <c r="W63" s="98">
        <v>4900</v>
      </c>
      <c r="X63" s="97">
        <v>0</v>
      </c>
      <c r="Y63" s="99">
        <v>1500</v>
      </c>
      <c r="Z63" s="98">
        <v>2470</v>
      </c>
      <c r="AA63" s="97">
        <v>0</v>
      </c>
      <c r="AB63" s="95">
        <v>1140</v>
      </c>
      <c r="AC63" s="98">
        <v>2510</v>
      </c>
      <c r="AD63" s="97">
        <v>0</v>
      </c>
      <c r="AE63" s="99">
        <v>2000</v>
      </c>
      <c r="AF63" s="98">
        <v>3360</v>
      </c>
      <c r="AG63" s="97">
        <v>0</v>
      </c>
      <c r="AH63" s="265">
        <f>+Janvier!AJ63</f>
        <v>2493.4203296703299</v>
      </c>
      <c r="AI63" s="231">
        <f>+Janvier!AK63</f>
        <v>7757.3076923076942</v>
      </c>
      <c r="AJ63" s="231">
        <f>+Janvier!AL63</f>
        <v>5817.9807692307704</v>
      </c>
      <c r="AK63" s="231">
        <f>+Janvier!AM63</f>
        <v>5817.9807692307704</v>
      </c>
      <c r="AL63" s="231">
        <f>+Janvier!AN63</f>
        <v>3526.0489510489515</v>
      </c>
      <c r="AM63" s="231">
        <f>+Janvier!AO63</f>
        <v>2181.7427884615386</v>
      </c>
      <c r="AN63" s="231">
        <f>+Janvier!AP63</f>
        <v>4363.4855769230771</v>
      </c>
      <c r="AO63" s="231">
        <f>+Janvier!AQ63</f>
        <v>2181.7427884615386</v>
      </c>
      <c r="AP63" s="231">
        <f>+Janvier!AR63</f>
        <v>2181.7427884615386</v>
      </c>
      <c r="AQ63" s="231">
        <f>+Janvier!AS63</f>
        <v>3878.6538461538471</v>
      </c>
      <c r="AR63" s="16">
        <f t="shared" si="97"/>
        <v>6</v>
      </c>
      <c r="AS63" s="16">
        <f t="shared" si="98"/>
        <v>6</v>
      </c>
      <c r="AT63" s="16">
        <f t="shared" si="99"/>
        <v>6</v>
      </c>
      <c r="AU63" s="16">
        <f t="shared" si="100"/>
        <v>6</v>
      </c>
      <c r="AV63" s="16">
        <f t="shared" si="101"/>
        <v>6</v>
      </c>
      <c r="AW63" s="16">
        <f t="shared" si="102"/>
        <v>5</v>
      </c>
      <c r="AX63" s="16">
        <f t="shared" si="103"/>
        <v>6</v>
      </c>
      <c r="AY63" s="16">
        <f t="shared" si="104"/>
        <v>6</v>
      </c>
      <c r="AZ63" s="16">
        <f t="shared" si="105"/>
        <v>6</v>
      </c>
      <c r="BA63" s="17">
        <f t="shared" si="106"/>
        <v>4</v>
      </c>
    </row>
    <row r="64" spans="1:53" ht="15.6" x14ac:dyDescent="0.3">
      <c r="A64" s="199" t="s">
        <v>30</v>
      </c>
      <c r="B64" s="257">
        <v>44013</v>
      </c>
      <c r="C64" s="233">
        <v>44074</v>
      </c>
      <c r="D64" s="95">
        <v>1000</v>
      </c>
      <c r="E64" s="98">
        <v>1640</v>
      </c>
      <c r="F64" s="97">
        <v>0</v>
      </c>
      <c r="G64" s="99">
        <v>2220</v>
      </c>
      <c r="H64" s="98">
        <v>3220</v>
      </c>
      <c r="I64" s="97">
        <v>0</v>
      </c>
      <c r="J64" s="99">
        <v>2100</v>
      </c>
      <c r="K64" s="98">
        <v>2940</v>
      </c>
      <c r="L64" s="97">
        <v>0</v>
      </c>
      <c r="M64" s="99">
        <v>1620</v>
      </c>
      <c r="N64" s="98">
        <v>2940</v>
      </c>
      <c r="O64" s="97">
        <v>0</v>
      </c>
      <c r="P64" s="99">
        <v>1100</v>
      </c>
      <c r="Q64" s="98">
        <v>1884</v>
      </c>
      <c r="R64" s="97">
        <v>0</v>
      </c>
      <c r="S64" s="99">
        <v>800</v>
      </c>
      <c r="T64" s="98">
        <v>1025</v>
      </c>
      <c r="U64" s="97">
        <v>0</v>
      </c>
      <c r="V64" s="99">
        <v>1000</v>
      </c>
      <c r="W64" s="98">
        <v>2320</v>
      </c>
      <c r="X64" s="97">
        <v>0</v>
      </c>
      <c r="Y64" s="99">
        <v>490</v>
      </c>
      <c r="Z64" s="98">
        <v>1210</v>
      </c>
      <c r="AA64" s="97">
        <v>0</v>
      </c>
      <c r="AB64" s="95">
        <v>1220</v>
      </c>
      <c r="AC64" s="98">
        <v>1200</v>
      </c>
      <c r="AD64" s="97">
        <v>0</v>
      </c>
      <c r="AE64" s="99">
        <v>600</v>
      </c>
      <c r="AF64" s="98">
        <v>2490</v>
      </c>
      <c r="AG64" s="97">
        <v>0</v>
      </c>
      <c r="AH64" s="265">
        <f>+Janvier!AJ64</f>
        <v>1338.1318681318683</v>
      </c>
      <c r="AI64" s="231">
        <f>+Janvier!AK64</f>
        <v>4163.0769230769229</v>
      </c>
      <c r="AJ64" s="231">
        <f>+Janvier!AL64</f>
        <v>3122.3076923076928</v>
      </c>
      <c r="AK64" s="231">
        <f>+Janvier!AM64</f>
        <v>3122.3076923076928</v>
      </c>
      <c r="AL64" s="231">
        <f>+Janvier!AN64</f>
        <v>1892.3076923076926</v>
      </c>
      <c r="AM64" s="231">
        <f>+Janvier!AO64</f>
        <v>1170.8653846153848</v>
      </c>
      <c r="AN64" s="231">
        <f>+Janvier!AP64</f>
        <v>2341.7307692307695</v>
      </c>
      <c r="AO64" s="231">
        <f>+Janvier!AQ64</f>
        <v>1170.8653846153848</v>
      </c>
      <c r="AP64" s="231">
        <f>+Janvier!AR64</f>
        <v>1170.8653846153848</v>
      </c>
      <c r="AQ64" s="231">
        <f>+Janvier!AS64</f>
        <v>2081.5384615384614</v>
      </c>
      <c r="AR64" s="16">
        <f t="shared" si="97"/>
        <v>6</v>
      </c>
      <c r="AS64" s="16">
        <f t="shared" si="98"/>
        <v>4</v>
      </c>
      <c r="AT64" s="16">
        <f t="shared" si="99"/>
        <v>5</v>
      </c>
      <c r="AU64" s="16">
        <f t="shared" si="100"/>
        <v>5</v>
      </c>
      <c r="AV64" s="16">
        <f t="shared" si="101"/>
        <v>5</v>
      </c>
      <c r="AW64" s="16">
        <f t="shared" si="102"/>
        <v>4</v>
      </c>
      <c r="AX64" s="16">
        <f t="shared" si="103"/>
        <v>5</v>
      </c>
      <c r="AY64" s="16">
        <f t="shared" si="104"/>
        <v>5</v>
      </c>
      <c r="AZ64" s="16">
        <f t="shared" si="105"/>
        <v>5</v>
      </c>
      <c r="BA64" s="17">
        <f t="shared" si="106"/>
        <v>6</v>
      </c>
    </row>
    <row r="65" spans="1:53" ht="15.6" x14ac:dyDescent="0.3">
      <c r="A65" s="199" t="s">
        <v>31</v>
      </c>
      <c r="B65" s="257">
        <v>44013</v>
      </c>
      <c r="C65" s="233">
        <v>44074</v>
      </c>
      <c r="D65" s="95">
        <v>2000</v>
      </c>
      <c r="E65" s="98">
        <v>2500</v>
      </c>
      <c r="F65" s="97">
        <v>0</v>
      </c>
      <c r="G65" s="99">
        <v>7500</v>
      </c>
      <c r="H65" s="98">
        <v>8200</v>
      </c>
      <c r="I65" s="97">
        <v>0</v>
      </c>
      <c r="J65" s="99">
        <v>5000</v>
      </c>
      <c r="K65" s="98">
        <v>5500</v>
      </c>
      <c r="L65" s="97">
        <v>0</v>
      </c>
      <c r="M65" s="99">
        <v>5500</v>
      </c>
      <c r="N65" s="98">
        <v>5700</v>
      </c>
      <c r="O65" s="97">
        <v>0</v>
      </c>
      <c r="P65" s="99">
        <v>3250</v>
      </c>
      <c r="Q65" s="98">
        <v>3300</v>
      </c>
      <c r="R65" s="97">
        <v>0</v>
      </c>
      <c r="S65" s="99">
        <v>2000</v>
      </c>
      <c r="T65" s="98">
        <v>2075</v>
      </c>
      <c r="U65" s="97">
        <v>0</v>
      </c>
      <c r="V65" s="99">
        <v>3130</v>
      </c>
      <c r="W65" s="98">
        <v>4250</v>
      </c>
      <c r="X65" s="97">
        <v>0</v>
      </c>
      <c r="Y65" s="99">
        <v>2060</v>
      </c>
      <c r="Z65" s="98">
        <v>2250</v>
      </c>
      <c r="AA65" s="97">
        <v>0</v>
      </c>
      <c r="AB65" s="95">
        <v>2060</v>
      </c>
      <c r="AC65" s="98">
        <v>2150</v>
      </c>
      <c r="AD65" s="97">
        <v>0</v>
      </c>
      <c r="AE65" s="99">
        <v>3670</v>
      </c>
      <c r="AF65" s="98">
        <v>2790</v>
      </c>
      <c r="AG65" s="97">
        <v>0</v>
      </c>
      <c r="AH65" s="265">
        <f>+Janvier!AJ65</f>
        <v>2561.7857142857147</v>
      </c>
      <c r="AI65" s="231">
        <f>+Janvier!AK65</f>
        <v>7970</v>
      </c>
      <c r="AJ65" s="231">
        <f>+Janvier!AL65</f>
        <v>5977.4999999999991</v>
      </c>
      <c r="AK65" s="231">
        <f>+Janvier!AM65</f>
        <v>5977.4999999999991</v>
      </c>
      <c r="AL65" s="231">
        <f>+Janvier!AN65</f>
        <v>3622.727272727273</v>
      </c>
      <c r="AM65" s="231">
        <f>+Janvier!AO65</f>
        <v>2241.5625</v>
      </c>
      <c r="AN65" s="231">
        <f>+Janvier!AP65</f>
        <v>4483.125</v>
      </c>
      <c r="AO65" s="231">
        <f>+Janvier!AQ65</f>
        <v>2241.5625</v>
      </c>
      <c r="AP65" s="231">
        <f>+Janvier!AR65</f>
        <v>2241.5625</v>
      </c>
      <c r="AQ65" s="231">
        <f>+Janvier!AS65</f>
        <v>3985</v>
      </c>
      <c r="AR65" s="16">
        <f t="shared" si="97"/>
        <v>5</v>
      </c>
      <c r="AS65" s="16">
        <f t="shared" si="98"/>
        <v>5</v>
      </c>
      <c r="AT65" s="16">
        <f t="shared" si="99"/>
        <v>5</v>
      </c>
      <c r="AU65" s="16">
        <f t="shared" si="100"/>
        <v>5</v>
      </c>
      <c r="AV65" s="16">
        <f t="shared" si="101"/>
        <v>5</v>
      </c>
      <c r="AW65" s="16">
        <f t="shared" si="102"/>
        <v>5</v>
      </c>
      <c r="AX65" s="16">
        <f t="shared" si="103"/>
        <v>5</v>
      </c>
      <c r="AY65" s="16">
        <f t="shared" si="104"/>
        <v>5</v>
      </c>
      <c r="AZ65" s="16">
        <f t="shared" si="105"/>
        <v>5</v>
      </c>
      <c r="BA65" s="17">
        <f t="shared" si="106"/>
        <v>4</v>
      </c>
    </row>
    <row r="66" spans="1:53" ht="15.6" x14ac:dyDescent="0.3">
      <c r="A66" s="199" t="s">
        <v>32</v>
      </c>
      <c r="B66" s="257">
        <v>44013</v>
      </c>
      <c r="C66" s="233">
        <v>44074</v>
      </c>
      <c r="D66" s="95">
        <v>2140</v>
      </c>
      <c r="E66" s="98">
        <v>1200</v>
      </c>
      <c r="F66" s="97">
        <v>0</v>
      </c>
      <c r="G66" s="99">
        <v>5500</v>
      </c>
      <c r="H66" s="98">
        <v>3060</v>
      </c>
      <c r="I66" s="97">
        <v>0</v>
      </c>
      <c r="J66" s="99">
        <v>4000</v>
      </c>
      <c r="K66" s="98">
        <v>2270</v>
      </c>
      <c r="L66" s="97">
        <v>0</v>
      </c>
      <c r="M66" s="99">
        <v>4220</v>
      </c>
      <c r="N66" s="98">
        <v>2212</v>
      </c>
      <c r="O66" s="97">
        <v>0</v>
      </c>
      <c r="P66" s="99">
        <v>2600</v>
      </c>
      <c r="Q66" s="98">
        <v>1520</v>
      </c>
      <c r="R66" s="97">
        <v>0</v>
      </c>
      <c r="S66" s="99">
        <v>1500</v>
      </c>
      <c r="T66" s="98">
        <v>890</v>
      </c>
      <c r="U66" s="97">
        <v>0</v>
      </c>
      <c r="V66" s="99">
        <v>1930</v>
      </c>
      <c r="W66" s="98">
        <v>1900</v>
      </c>
      <c r="X66" s="97">
        <v>0</v>
      </c>
      <c r="Y66" s="99">
        <v>1480</v>
      </c>
      <c r="Z66" s="98">
        <v>1330</v>
      </c>
      <c r="AA66" s="97">
        <v>0</v>
      </c>
      <c r="AB66" s="95">
        <v>1410</v>
      </c>
      <c r="AC66" s="98">
        <v>1320</v>
      </c>
      <c r="AD66" s="97">
        <v>0</v>
      </c>
      <c r="AE66" s="99">
        <v>2360</v>
      </c>
      <c r="AF66" s="98">
        <v>2350</v>
      </c>
      <c r="AG66" s="97">
        <v>0</v>
      </c>
      <c r="AH66" s="265">
        <f>+Janvier!AJ66</f>
        <v>1732.3763736263736</v>
      </c>
      <c r="AI66" s="231">
        <f>+Janvier!AK66</f>
        <v>5389.6153846153857</v>
      </c>
      <c r="AJ66" s="231">
        <f>+Janvier!AL66</f>
        <v>4042.211538461539</v>
      </c>
      <c r="AK66" s="231">
        <f>+Janvier!AM66</f>
        <v>4042.211538461539</v>
      </c>
      <c r="AL66" s="231">
        <f>+Janvier!AN66</f>
        <v>2449.8251748251751</v>
      </c>
      <c r="AM66" s="231">
        <f>+Janvier!AO66</f>
        <v>1515.8293269230767</v>
      </c>
      <c r="AN66" s="231">
        <f>+Janvier!AP66</f>
        <v>3031.6586538461534</v>
      </c>
      <c r="AO66" s="231">
        <f>+Janvier!AQ66</f>
        <v>1515.8293269230767</v>
      </c>
      <c r="AP66" s="231">
        <f>+Janvier!AR66</f>
        <v>1515.8293269230767</v>
      </c>
      <c r="AQ66" s="231">
        <f>+Janvier!AS66</f>
        <v>2694.8076923076928</v>
      </c>
      <c r="AR66" s="16">
        <f t="shared" si="97"/>
        <v>3</v>
      </c>
      <c r="AS66" s="16">
        <f t="shared" si="98"/>
        <v>3</v>
      </c>
      <c r="AT66" s="16">
        <f t="shared" si="99"/>
        <v>3</v>
      </c>
      <c r="AU66" s="16">
        <f t="shared" si="100"/>
        <v>3</v>
      </c>
      <c r="AV66" s="16">
        <f t="shared" si="101"/>
        <v>3</v>
      </c>
      <c r="AW66" s="16">
        <f t="shared" si="102"/>
        <v>3</v>
      </c>
      <c r="AX66" s="16">
        <f t="shared" si="103"/>
        <v>3</v>
      </c>
      <c r="AY66" s="16">
        <f t="shared" si="104"/>
        <v>4</v>
      </c>
      <c r="AZ66" s="16">
        <f t="shared" si="105"/>
        <v>4</v>
      </c>
      <c r="BA66" s="17">
        <f t="shared" si="106"/>
        <v>4</v>
      </c>
    </row>
    <row r="67" spans="1:53" ht="16.2" thickBot="1" x14ac:dyDescent="0.35">
      <c r="A67" s="199" t="s">
        <v>33</v>
      </c>
      <c r="B67" s="270">
        <v>44013</v>
      </c>
      <c r="C67" s="271">
        <v>44074</v>
      </c>
      <c r="D67" s="111">
        <v>1580</v>
      </c>
      <c r="E67" s="263">
        <v>1130</v>
      </c>
      <c r="F67" s="110">
        <v>0</v>
      </c>
      <c r="G67" s="264">
        <v>4040</v>
      </c>
      <c r="H67" s="263">
        <v>4080</v>
      </c>
      <c r="I67" s="110">
        <v>0</v>
      </c>
      <c r="J67" s="264">
        <v>2350</v>
      </c>
      <c r="K67" s="263">
        <v>3060</v>
      </c>
      <c r="L67" s="110">
        <v>0</v>
      </c>
      <c r="M67" s="264">
        <v>2200</v>
      </c>
      <c r="N67" s="263">
        <v>3050</v>
      </c>
      <c r="O67" s="110">
        <v>0</v>
      </c>
      <c r="P67" s="264">
        <v>1650</v>
      </c>
      <c r="Q67" s="263">
        <v>1940</v>
      </c>
      <c r="R67" s="110">
        <v>0</v>
      </c>
      <c r="S67" s="264">
        <v>870</v>
      </c>
      <c r="T67" s="263">
        <v>1020</v>
      </c>
      <c r="U67" s="110">
        <v>0</v>
      </c>
      <c r="V67" s="264">
        <v>1560</v>
      </c>
      <c r="W67" s="263">
        <v>1430</v>
      </c>
      <c r="X67" s="110">
        <v>0</v>
      </c>
      <c r="Y67" s="264">
        <v>970</v>
      </c>
      <c r="Z67" s="263">
        <v>1210</v>
      </c>
      <c r="AA67" s="110">
        <v>0</v>
      </c>
      <c r="AB67" s="111">
        <v>1010</v>
      </c>
      <c r="AC67" s="263">
        <v>1220</v>
      </c>
      <c r="AD67" s="110">
        <v>0</v>
      </c>
      <c r="AE67" s="266">
        <v>1040</v>
      </c>
      <c r="AF67" s="267">
        <v>2550</v>
      </c>
      <c r="AG67" s="261">
        <v>0</v>
      </c>
      <c r="AH67" s="265">
        <f>+Janvier!AJ67</f>
        <v>1391.4148351648353</v>
      </c>
      <c r="AI67" s="231">
        <f>+Janvier!AK67</f>
        <v>4328.8461538461534</v>
      </c>
      <c r="AJ67" s="231">
        <f>+Janvier!AL67</f>
        <v>3246.6346153846152</v>
      </c>
      <c r="AK67" s="231">
        <f>+Janvier!AM67</f>
        <v>3246.6346153846152</v>
      </c>
      <c r="AL67" s="231">
        <f>+Janvier!AN67</f>
        <v>1967.6573426573427</v>
      </c>
      <c r="AM67" s="231">
        <f>+Janvier!AO67</f>
        <v>1217.4879807692307</v>
      </c>
      <c r="AN67" s="231">
        <f>+Janvier!AP67</f>
        <v>2434.9759615384614</v>
      </c>
      <c r="AO67" s="231">
        <f>+Janvier!AQ67</f>
        <v>1217.4879807692307</v>
      </c>
      <c r="AP67" s="231">
        <f>+Janvier!AR67</f>
        <v>1217.4879807692307</v>
      </c>
      <c r="AQ67" s="231">
        <f>+Janvier!AS67</f>
        <v>2164.4230769230767</v>
      </c>
      <c r="AR67" s="32">
        <f t="shared" si="97"/>
        <v>4</v>
      </c>
      <c r="AS67" s="32">
        <f t="shared" si="98"/>
        <v>5</v>
      </c>
      <c r="AT67" s="32">
        <f t="shared" si="99"/>
        <v>5</v>
      </c>
      <c r="AU67" s="32">
        <f t="shared" si="100"/>
        <v>5</v>
      </c>
      <c r="AV67" s="32">
        <f t="shared" si="101"/>
        <v>5</v>
      </c>
      <c r="AW67" s="32">
        <f t="shared" si="102"/>
        <v>4</v>
      </c>
      <c r="AX67" s="32">
        <f t="shared" si="103"/>
        <v>3</v>
      </c>
      <c r="AY67" s="32">
        <f t="shared" si="104"/>
        <v>5</v>
      </c>
      <c r="AZ67" s="32">
        <f t="shared" si="105"/>
        <v>5</v>
      </c>
      <c r="BA67" s="33">
        <f t="shared" si="106"/>
        <v>6</v>
      </c>
    </row>
    <row r="68" spans="1:53" ht="15.6" hidden="1" x14ac:dyDescent="0.3">
      <c r="A68" s="202" t="s">
        <v>86</v>
      </c>
      <c r="B68" s="256">
        <v>44044</v>
      </c>
      <c r="C68" s="160">
        <v>44078</v>
      </c>
      <c r="D68" s="268">
        <v>80000</v>
      </c>
      <c r="E68" s="123">
        <v>51860</v>
      </c>
      <c r="F68" s="124">
        <v>22</v>
      </c>
      <c r="G68" s="125">
        <v>235000</v>
      </c>
      <c r="H68" s="123">
        <v>182080</v>
      </c>
      <c r="I68" s="124">
        <v>0</v>
      </c>
      <c r="J68" s="125">
        <v>176400</v>
      </c>
      <c r="K68" s="123">
        <v>116620</v>
      </c>
      <c r="L68" s="124">
        <v>22</v>
      </c>
      <c r="M68" s="125">
        <v>173000</v>
      </c>
      <c r="N68" s="123">
        <v>132828</v>
      </c>
      <c r="O68" s="124">
        <v>0</v>
      </c>
      <c r="P68" s="125">
        <v>107000</v>
      </c>
      <c r="Q68" s="123">
        <v>76917</v>
      </c>
      <c r="R68" s="124">
        <v>0</v>
      </c>
      <c r="S68" s="125">
        <v>61000</v>
      </c>
      <c r="T68" s="123">
        <v>47430</v>
      </c>
      <c r="U68" s="124">
        <v>0</v>
      </c>
      <c r="V68" s="125">
        <v>118500</v>
      </c>
      <c r="W68" s="123">
        <v>111580</v>
      </c>
      <c r="X68" s="124">
        <v>0</v>
      </c>
      <c r="Y68" s="125">
        <v>42000</v>
      </c>
      <c r="Z68" s="123">
        <v>26960</v>
      </c>
      <c r="AA68" s="124">
        <v>0</v>
      </c>
      <c r="AB68" s="125">
        <v>53000</v>
      </c>
      <c r="AC68" s="123">
        <v>50640</v>
      </c>
      <c r="AD68" s="124">
        <v>0</v>
      </c>
      <c r="AE68" s="125">
        <v>40000</v>
      </c>
      <c r="AF68" s="123">
        <v>18260</v>
      </c>
      <c r="AG68" s="124">
        <v>0</v>
      </c>
      <c r="AH68" s="265">
        <f>+Janvier!AJ68</f>
        <v>88119.9</v>
      </c>
      <c r="AI68" s="231">
        <f>+Janvier!AK68</f>
        <v>305254.47115384619</v>
      </c>
      <c r="AJ68" s="231">
        <f>+Janvier!AL68</f>
        <v>203299.47778846158</v>
      </c>
      <c r="AK68" s="231">
        <f>+Janvier!AM68</f>
        <v>203299.47778846158</v>
      </c>
      <c r="AL68" s="231">
        <f>+Janvier!AN68</f>
        <v>128206.87788461539</v>
      </c>
      <c r="AM68" s="231">
        <f>+Janvier!AO68</f>
        <v>76313.617788461546</v>
      </c>
      <c r="AN68" s="231">
        <f>+Janvier!AP68</f>
        <v>152627.23557692309</v>
      </c>
      <c r="AO68" s="231">
        <f>+Janvier!AQ68</f>
        <v>76313.617788461546</v>
      </c>
      <c r="AP68" s="231">
        <f>+Janvier!AR68</f>
        <v>76313.617788461546</v>
      </c>
      <c r="AQ68" s="231">
        <f>+Janvier!AS68</f>
        <v>136801.52307692307</v>
      </c>
      <c r="AR68" s="16">
        <f>ROUND(E68/(AH68/15),0)</f>
        <v>9</v>
      </c>
      <c r="AS68" s="16">
        <f t="shared" ref="AS68" si="107">ROUND(H68/(AI68/15),0)</f>
        <v>9</v>
      </c>
      <c r="AT68" s="16">
        <f t="shared" ref="AT68" si="108">ROUND(K68/(AJ68/15),0)</f>
        <v>9</v>
      </c>
      <c r="AU68" s="16">
        <f t="shared" ref="AU68" si="109">ROUND(N68/(AK68/15),0)</f>
        <v>10</v>
      </c>
      <c r="AV68" s="16">
        <f t="shared" ref="AV68" si="110">ROUND(Q68/(AL68/15),0)</f>
        <v>9</v>
      </c>
      <c r="AW68" s="16">
        <f t="shared" ref="AW68" si="111">ROUND(T68/(AM68/15),0)</f>
        <v>9</v>
      </c>
      <c r="AX68" s="16">
        <f t="shared" ref="AX68" si="112">ROUND(W68/(AN68/15),0)</f>
        <v>11</v>
      </c>
      <c r="AY68" s="16">
        <f t="shared" ref="AY68" si="113">ROUND(Z68/(AO68/15),0)</f>
        <v>5</v>
      </c>
      <c r="AZ68" s="16">
        <f t="shared" ref="AZ68" si="114">ROUND(AC68/(AP68/15),0)</f>
        <v>10</v>
      </c>
      <c r="BA68" s="17">
        <f t="shared" ref="BA68" si="115">ROUND(AF68/(AQ68/15),0)</f>
        <v>2</v>
      </c>
    </row>
    <row r="69" spans="1:53" ht="15.6" x14ac:dyDescent="0.3">
      <c r="A69" s="199" t="s">
        <v>63</v>
      </c>
      <c r="B69" s="257">
        <v>44044</v>
      </c>
      <c r="C69" s="94">
        <v>44078</v>
      </c>
      <c r="D69" s="237">
        <v>1120</v>
      </c>
      <c r="E69" s="96">
        <v>900</v>
      </c>
      <c r="F69" s="97">
        <v>0</v>
      </c>
      <c r="G69" s="95">
        <v>7420</v>
      </c>
      <c r="H69" s="96">
        <v>1880</v>
      </c>
      <c r="I69" s="97">
        <v>0</v>
      </c>
      <c r="J69" s="95">
        <v>3270</v>
      </c>
      <c r="K69" s="96">
        <v>1300</v>
      </c>
      <c r="L69" s="97">
        <v>0</v>
      </c>
      <c r="M69" s="95">
        <v>1260</v>
      </c>
      <c r="N69" s="96">
        <v>2648</v>
      </c>
      <c r="O69" s="97">
        <v>0</v>
      </c>
      <c r="P69" s="95">
        <v>900</v>
      </c>
      <c r="Q69" s="96">
        <v>1050</v>
      </c>
      <c r="R69" s="97">
        <v>0</v>
      </c>
      <c r="S69" s="95">
        <v>1240</v>
      </c>
      <c r="T69" s="96">
        <v>1200</v>
      </c>
      <c r="U69" s="97">
        <v>0</v>
      </c>
      <c r="V69" s="95">
        <v>600</v>
      </c>
      <c r="W69" s="96">
        <v>1050</v>
      </c>
      <c r="X69" s="97">
        <v>0</v>
      </c>
      <c r="Y69" s="95">
        <v>1120</v>
      </c>
      <c r="Z69" s="96">
        <v>330</v>
      </c>
      <c r="AA69" s="97">
        <v>0</v>
      </c>
      <c r="AB69" s="95">
        <v>800</v>
      </c>
      <c r="AC69" s="96">
        <v>410</v>
      </c>
      <c r="AD69" s="97">
        <v>0</v>
      </c>
      <c r="AE69" s="95">
        <v>1000</v>
      </c>
      <c r="AF69" s="96">
        <v>490</v>
      </c>
      <c r="AG69" s="97">
        <v>0</v>
      </c>
      <c r="AH69" s="265">
        <f>+Janvier!AJ69</f>
        <v>792.19780219780216</v>
      </c>
      <c r="AI69" s="231">
        <f>+Janvier!AK69</f>
        <v>2464.6153846153848</v>
      </c>
      <c r="AJ69" s="231">
        <f>+Janvier!AL69</f>
        <v>1848.4615384615383</v>
      </c>
      <c r="AK69" s="231">
        <f>+Janvier!AM69</f>
        <v>1848.4615384615383</v>
      </c>
      <c r="AL69" s="231">
        <f>+Janvier!AN69</f>
        <v>1120.2797202797203</v>
      </c>
      <c r="AM69" s="231">
        <f>+Janvier!AO69</f>
        <v>693.17307692307691</v>
      </c>
      <c r="AN69" s="231">
        <f>+Janvier!AP69</f>
        <v>1386.3461538461538</v>
      </c>
      <c r="AO69" s="231">
        <f>+Janvier!AQ69</f>
        <v>693.17307692307691</v>
      </c>
      <c r="AP69" s="231">
        <f>+Janvier!AR69</f>
        <v>693.17307692307691</v>
      </c>
      <c r="AQ69" s="231">
        <f>+Janvier!AS69</f>
        <v>1232.3076923076924</v>
      </c>
      <c r="AR69" s="16">
        <f t="shared" ref="AR69:AR79" si="116">ROUND(E69/(AH69/5),0)</f>
        <v>6</v>
      </c>
      <c r="AS69" s="16">
        <f t="shared" ref="AS69:AS79" si="117">ROUND(H69/(AI69/5),0)</f>
        <v>4</v>
      </c>
      <c r="AT69" s="16">
        <f t="shared" ref="AT69:AT79" si="118">ROUND(K69/(AJ69/5),0)</f>
        <v>4</v>
      </c>
      <c r="AU69" s="16">
        <f t="shared" ref="AU69:AU79" si="119">ROUND(N69/(AK69/5),0)</f>
        <v>7</v>
      </c>
      <c r="AV69" s="16">
        <f t="shared" ref="AV69:AV79" si="120">ROUND(Q69/(AL69/5),0)</f>
        <v>5</v>
      </c>
      <c r="AW69" s="16">
        <f t="shared" ref="AW69:AW79" si="121">ROUND(T69/(AM69/5),0)</f>
        <v>9</v>
      </c>
      <c r="AX69" s="16">
        <f t="shared" ref="AX69:AX79" si="122">ROUND(W69/(AN69/5),0)</f>
        <v>4</v>
      </c>
      <c r="AY69" s="16">
        <f t="shared" ref="AY69:AY79" si="123">ROUND(Z69/(AO69/5),0)</f>
        <v>2</v>
      </c>
      <c r="AZ69" s="16">
        <f t="shared" ref="AZ69:AZ79" si="124">ROUND(AC69/(AP69/5),0)</f>
        <v>3</v>
      </c>
      <c r="BA69" s="17">
        <f t="shared" ref="BA69:BA79" si="125">ROUND(AF69/(AQ69/5),0)</f>
        <v>2</v>
      </c>
    </row>
    <row r="70" spans="1:53" ht="15.6" x14ac:dyDescent="0.3">
      <c r="A70" s="199" t="s">
        <v>64</v>
      </c>
      <c r="B70" s="257">
        <v>44044</v>
      </c>
      <c r="C70" s="94">
        <v>44078</v>
      </c>
      <c r="D70" s="237">
        <v>3500</v>
      </c>
      <c r="E70" s="96">
        <v>2240</v>
      </c>
      <c r="F70" s="97">
        <v>0</v>
      </c>
      <c r="G70" s="95">
        <v>9780</v>
      </c>
      <c r="H70" s="96">
        <v>5700</v>
      </c>
      <c r="I70" s="97">
        <v>0</v>
      </c>
      <c r="J70" s="95">
        <v>6600</v>
      </c>
      <c r="K70" s="96">
        <v>4300</v>
      </c>
      <c r="L70" s="97">
        <v>0</v>
      </c>
      <c r="M70" s="95">
        <v>7660</v>
      </c>
      <c r="N70" s="96">
        <v>4272</v>
      </c>
      <c r="O70" s="97">
        <v>0</v>
      </c>
      <c r="P70" s="95">
        <v>4700</v>
      </c>
      <c r="Q70" s="96">
        <v>2700</v>
      </c>
      <c r="R70" s="97">
        <v>0</v>
      </c>
      <c r="S70" s="95">
        <v>2900</v>
      </c>
      <c r="T70" s="96">
        <v>1450</v>
      </c>
      <c r="U70" s="97">
        <v>0</v>
      </c>
      <c r="V70" s="95">
        <v>4400</v>
      </c>
      <c r="W70" s="96">
        <v>3220</v>
      </c>
      <c r="X70" s="97">
        <v>0</v>
      </c>
      <c r="Y70" s="95">
        <v>2600</v>
      </c>
      <c r="Z70" s="96">
        <v>1630</v>
      </c>
      <c r="AA70" s="97">
        <v>0</v>
      </c>
      <c r="AB70" s="95">
        <v>2600</v>
      </c>
      <c r="AC70" s="96">
        <v>1620</v>
      </c>
      <c r="AD70" s="97">
        <v>0</v>
      </c>
      <c r="AE70" s="95">
        <v>5750</v>
      </c>
      <c r="AF70" s="96">
        <v>3600</v>
      </c>
      <c r="AG70" s="97">
        <v>0</v>
      </c>
      <c r="AH70" s="265">
        <f>+Janvier!AJ70</f>
        <v>1980.7417582417584</v>
      </c>
      <c r="AI70" s="231">
        <f>+Janvier!AK70</f>
        <v>6162.3076923076933</v>
      </c>
      <c r="AJ70" s="231">
        <f>+Janvier!AL70</f>
        <v>4621.7307692307704</v>
      </c>
      <c r="AK70" s="231">
        <f>+Janvier!AM70</f>
        <v>4621.7307692307704</v>
      </c>
      <c r="AL70" s="231">
        <f>+Janvier!AN70</f>
        <v>2801.0489510489515</v>
      </c>
      <c r="AM70" s="231">
        <f>+Janvier!AO70</f>
        <v>1733.1490384615383</v>
      </c>
      <c r="AN70" s="231">
        <f>+Janvier!AP70</f>
        <v>3466.2980769230767</v>
      </c>
      <c r="AO70" s="231">
        <f>+Janvier!AQ70</f>
        <v>1733.1490384615383</v>
      </c>
      <c r="AP70" s="231">
        <f>+Janvier!AR70</f>
        <v>1733.1490384615383</v>
      </c>
      <c r="AQ70" s="231">
        <f>+Janvier!AS70</f>
        <v>3081.1538461538466</v>
      </c>
      <c r="AR70" s="16">
        <f t="shared" si="116"/>
        <v>6</v>
      </c>
      <c r="AS70" s="16">
        <f t="shared" si="117"/>
        <v>5</v>
      </c>
      <c r="AT70" s="16">
        <f t="shared" si="118"/>
        <v>5</v>
      </c>
      <c r="AU70" s="16">
        <f t="shared" si="119"/>
        <v>5</v>
      </c>
      <c r="AV70" s="16">
        <f t="shared" si="120"/>
        <v>5</v>
      </c>
      <c r="AW70" s="16">
        <f t="shared" si="121"/>
        <v>4</v>
      </c>
      <c r="AX70" s="16">
        <f t="shared" si="122"/>
        <v>5</v>
      </c>
      <c r="AY70" s="16">
        <f t="shared" si="123"/>
        <v>5</v>
      </c>
      <c r="AZ70" s="16">
        <f t="shared" si="124"/>
        <v>5</v>
      </c>
      <c r="BA70" s="17">
        <f t="shared" si="125"/>
        <v>6</v>
      </c>
    </row>
    <row r="71" spans="1:53" ht="15.6" x14ac:dyDescent="0.3">
      <c r="A71" s="199" t="s">
        <v>65</v>
      </c>
      <c r="B71" s="257">
        <v>44044</v>
      </c>
      <c r="C71" s="94">
        <v>44078</v>
      </c>
      <c r="D71" s="237">
        <v>4820</v>
      </c>
      <c r="E71" s="96">
        <v>3120</v>
      </c>
      <c r="F71" s="97">
        <v>0</v>
      </c>
      <c r="G71" s="95">
        <v>13520</v>
      </c>
      <c r="H71" s="96">
        <v>8340</v>
      </c>
      <c r="I71" s="97">
        <v>0</v>
      </c>
      <c r="J71" s="95">
        <v>10900</v>
      </c>
      <c r="K71" s="96">
        <v>6250</v>
      </c>
      <c r="L71" s="97">
        <v>0</v>
      </c>
      <c r="M71" s="95">
        <v>12104</v>
      </c>
      <c r="N71" s="96">
        <v>6256</v>
      </c>
      <c r="O71" s="97">
        <v>0</v>
      </c>
      <c r="P71" s="95">
        <v>6864</v>
      </c>
      <c r="Q71" s="96">
        <v>3794</v>
      </c>
      <c r="R71" s="97">
        <v>0</v>
      </c>
      <c r="S71" s="95">
        <v>3550</v>
      </c>
      <c r="T71" s="96">
        <v>2090</v>
      </c>
      <c r="U71" s="97">
        <v>0</v>
      </c>
      <c r="V71" s="95">
        <v>7540</v>
      </c>
      <c r="W71" s="96">
        <v>4700</v>
      </c>
      <c r="X71" s="97">
        <v>0</v>
      </c>
      <c r="Y71" s="95">
        <v>4090</v>
      </c>
      <c r="Z71" s="96">
        <v>2350</v>
      </c>
      <c r="AA71" s="97">
        <v>0</v>
      </c>
      <c r="AB71" s="95">
        <v>4230</v>
      </c>
      <c r="AC71" s="96">
        <v>2350</v>
      </c>
      <c r="AD71" s="97">
        <v>0</v>
      </c>
      <c r="AE71" s="95">
        <v>7030</v>
      </c>
      <c r="AF71" s="96">
        <v>5210</v>
      </c>
      <c r="AG71" s="97">
        <v>0</v>
      </c>
      <c r="AH71" s="265">
        <f>+Janvier!AJ71</f>
        <v>2906.4560439560446</v>
      </c>
      <c r="AI71" s="231">
        <f>+Janvier!AK71</f>
        <v>9042.3076923076933</v>
      </c>
      <c r="AJ71" s="231">
        <f>+Janvier!AL71</f>
        <v>6781.7307692307695</v>
      </c>
      <c r="AK71" s="231">
        <f>+Janvier!AM71</f>
        <v>6781.7307692307695</v>
      </c>
      <c r="AL71" s="231">
        <f>+Janvier!AN71</f>
        <v>4110.1398601398605</v>
      </c>
      <c r="AM71" s="231">
        <f>+Janvier!AO71</f>
        <v>2543.1490384615386</v>
      </c>
      <c r="AN71" s="231">
        <f>+Janvier!AP71</f>
        <v>5086.2980769230771</v>
      </c>
      <c r="AO71" s="231">
        <f>+Janvier!AQ71</f>
        <v>2543.1490384615386</v>
      </c>
      <c r="AP71" s="231">
        <f>+Janvier!AR71</f>
        <v>2543.1490384615386</v>
      </c>
      <c r="AQ71" s="231">
        <f>+Janvier!AS71</f>
        <v>4521.1538461538466</v>
      </c>
      <c r="AR71" s="16">
        <f t="shared" si="116"/>
        <v>5</v>
      </c>
      <c r="AS71" s="16">
        <f t="shared" si="117"/>
        <v>5</v>
      </c>
      <c r="AT71" s="16">
        <f t="shared" si="118"/>
        <v>5</v>
      </c>
      <c r="AU71" s="16">
        <f t="shared" si="119"/>
        <v>5</v>
      </c>
      <c r="AV71" s="16">
        <f t="shared" si="120"/>
        <v>5</v>
      </c>
      <c r="AW71" s="16">
        <f t="shared" si="121"/>
        <v>4</v>
      </c>
      <c r="AX71" s="16">
        <f t="shared" si="122"/>
        <v>5</v>
      </c>
      <c r="AY71" s="16">
        <f t="shared" si="123"/>
        <v>5</v>
      </c>
      <c r="AZ71" s="16">
        <f t="shared" si="124"/>
        <v>5</v>
      </c>
      <c r="BA71" s="17">
        <f t="shared" si="125"/>
        <v>6</v>
      </c>
    </row>
    <row r="72" spans="1:53" ht="15.6" x14ac:dyDescent="0.3">
      <c r="A72" s="203" t="s">
        <v>66</v>
      </c>
      <c r="B72" s="257">
        <v>44044</v>
      </c>
      <c r="C72" s="94">
        <v>44078</v>
      </c>
      <c r="D72" s="237">
        <v>3660</v>
      </c>
      <c r="E72" s="96">
        <v>2900</v>
      </c>
      <c r="F72" s="97">
        <v>0</v>
      </c>
      <c r="G72" s="95">
        <v>10180</v>
      </c>
      <c r="H72" s="96">
        <v>7740</v>
      </c>
      <c r="I72" s="97">
        <v>0</v>
      </c>
      <c r="J72" s="95">
        <v>8300</v>
      </c>
      <c r="K72" s="96">
        <v>7300</v>
      </c>
      <c r="L72" s="97">
        <v>0</v>
      </c>
      <c r="M72" s="95">
        <v>8452</v>
      </c>
      <c r="N72" s="96">
        <v>5796</v>
      </c>
      <c r="O72" s="97">
        <v>0</v>
      </c>
      <c r="P72" s="95">
        <v>5118</v>
      </c>
      <c r="Q72" s="96">
        <v>3515</v>
      </c>
      <c r="R72" s="97">
        <v>0</v>
      </c>
      <c r="S72" s="95">
        <v>2270</v>
      </c>
      <c r="T72" s="96">
        <v>2000</v>
      </c>
      <c r="U72" s="97">
        <v>0</v>
      </c>
      <c r="V72" s="95">
        <v>4530</v>
      </c>
      <c r="W72" s="96">
        <v>4350</v>
      </c>
      <c r="X72" s="97">
        <v>0</v>
      </c>
      <c r="Y72" s="95">
        <v>2480</v>
      </c>
      <c r="Z72" s="96">
        <v>2220</v>
      </c>
      <c r="AA72" s="97">
        <v>0</v>
      </c>
      <c r="AB72" s="95">
        <v>2870</v>
      </c>
      <c r="AC72" s="96">
        <v>2170</v>
      </c>
      <c r="AD72" s="97">
        <v>0</v>
      </c>
      <c r="AE72" s="95">
        <v>5320</v>
      </c>
      <c r="AF72" s="96">
        <v>4830</v>
      </c>
      <c r="AG72" s="97">
        <v>0</v>
      </c>
      <c r="AH72" s="265">
        <f>+Janvier!AJ72</f>
        <v>2692.335164835165</v>
      </c>
      <c r="AI72" s="231">
        <f>+Janvier!AK72</f>
        <v>8376.1538461538457</v>
      </c>
      <c r="AJ72" s="231">
        <f>+Janvier!AL72</f>
        <v>6282.1153846153857</v>
      </c>
      <c r="AK72" s="231">
        <f>+Janvier!AM72</f>
        <v>6282.1153846153857</v>
      </c>
      <c r="AL72" s="231">
        <f>+Janvier!AN72</f>
        <v>3807.3426573426577</v>
      </c>
      <c r="AM72" s="231">
        <f>+Janvier!AO72</f>
        <v>2355.7932692307695</v>
      </c>
      <c r="AN72" s="231">
        <f>+Janvier!AP72</f>
        <v>4711.586538461539</v>
      </c>
      <c r="AO72" s="231">
        <f>+Janvier!AQ72</f>
        <v>2355.7932692307695</v>
      </c>
      <c r="AP72" s="231">
        <f>+Janvier!AR72</f>
        <v>2355.7932692307695</v>
      </c>
      <c r="AQ72" s="231">
        <f>+Janvier!AS72</f>
        <v>4188.0769230769229</v>
      </c>
      <c r="AR72" s="16">
        <f t="shared" si="116"/>
        <v>5</v>
      </c>
      <c r="AS72" s="16">
        <f t="shared" si="117"/>
        <v>5</v>
      </c>
      <c r="AT72" s="16">
        <f t="shared" si="118"/>
        <v>6</v>
      </c>
      <c r="AU72" s="16">
        <f t="shared" si="119"/>
        <v>5</v>
      </c>
      <c r="AV72" s="16">
        <f t="shared" si="120"/>
        <v>5</v>
      </c>
      <c r="AW72" s="16">
        <f t="shared" si="121"/>
        <v>4</v>
      </c>
      <c r="AX72" s="16">
        <f t="shared" si="122"/>
        <v>5</v>
      </c>
      <c r="AY72" s="16">
        <f t="shared" si="123"/>
        <v>5</v>
      </c>
      <c r="AZ72" s="16">
        <f t="shared" si="124"/>
        <v>5</v>
      </c>
      <c r="BA72" s="17">
        <f t="shared" si="125"/>
        <v>6</v>
      </c>
    </row>
    <row r="73" spans="1:53" ht="15.6" x14ac:dyDescent="0.3">
      <c r="A73" s="203" t="s">
        <v>67</v>
      </c>
      <c r="B73" s="257">
        <v>44044</v>
      </c>
      <c r="C73" s="94">
        <v>44078</v>
      </c>
      <c r="D73" s="237">
        <v>7500</v>
      </c>
      <c r="E73" s="96">
        <v>5160</v>
      </c>
      <c r="F73" s="97">
        <v>0</v>
      </c>
      <c r="G73" s="95">
        <v>20000</v>
      </c>
      <c r="H73" s="96">
        <v>13480</v>
      </c>
      <c r="I73" s="97">
        <v>0</v>
      </c>
      <c r="J73" s="95">
        <v>14210</v>
      </c>
      <c r="K73" s="96">
        <v>10210</v>
      </c>
      <c r="L73" s="97">
        <v>0</v>
      </c>
      <c r="M73" s="95">
        <v>15232</v>
      </c>
      <c r="N73" s="96">
        <v>10212</v>
      </c>
      <c r="O73" s="97">
        <v>0</v>
      </c>
      <c r="P73" s="95">
        <v>9687</v>
      </c>
      <c r="Q73" s="96">
        <v>6195</v>
      </c>
      <c r="R73" s="97">
        <v>0</v>
      </c>
      <c r="S73" s="95">
        <v>6040</v>
      </c>
      <c r="T73" s="96">
        <v>3400</v>
      </c>
      <c r="U73" s="97">
        <v>0</v>
      </c>
      <c r="V73" s="95">
        <v>11700</v>
      </c>
      <c r="W73" s="96">
        <v>7660</v>
      </c>
      <c r="X73" s="97">
        <v>0</v>
      </c>
      <c r="Y73" s="95">
        <v>6820</v>
      </c>
      <c r="Z73" s="96">
        <v>3830</v>
      </c>
      <c r="AA73" s="97">
        <v>0</v>
      </c>
      <c r="AB73" s="95">
        <v>6460</v>
      </c>
      <c r="AC73" s="96">
        <v>3830</v>
      </c>
      <c r="AD73" s="97">
        <v>0</v>
      </c>
      <c r="AE73" s="95">
        <v>12140</v>
      </c>
      <c r="AF73" s="96">
        <v>8510</v>
      </c>
      <c r="AG73" s="97">
        <v>0</v>
      </c>
      <c r="AH73" s="265">
        <f>+Janvier!AJ73</f>
        <v>4744.9038461538466</v>
      </c>
      <c r="AI73" s="231">
        <f>+Janvier!AK73</f>
        <v>14761.923076923076</v>
      </c>
      <c r="AJ73" s="231">
        <f>+Janvier!AL73</f>
        <v>11071.442307692309</v>
      </c>
      <c r="AK73" s="231">
        <f>+Janvier!AM73</f>
        <v>11071.442307692309</v>
      </c>
      <c r="AL73" s="231">
        <f>+Janvier!AN73</f>
        <v>6709.9650349650356</v>
      </c>
      <c r="AM73" s="231">
        <f>+Janvier!AO73</f>
        <v>4151.7908653846152</v>
      </c>
      <c r="AN73" s="231">
        <f>+Janvier!AP73</f>
        <v>8303.5817307692305</v>
      </c>
      <c r="AO73" s="231">
        <f>+Janvier!AQ73</f>
        <v>4151.7908653846152</v>
      </c>
      <c r="AP73" s="231">
        <f>+Janvier!AR73</f>
        <v>4151.7908653846152</v>
      </c>
      <c r="AQ73" s="231">
        <f>+Janvier!AS73</f>
        <v>7380.9615384615381</v>
      </c>
      <c r="AR73" s="16">
        <f t="shared" si="116"/>
        <v>5</v>
      </c>
      <c r="AS73" s="16">
        <f t="shared" si="117"/>
        <v>5</v>
      </c>
      <c r="AT73" s="16">
        <f t="shared" si="118"/>
        <v>5</v>
      </c>
      <c r="AU73" s="16">
        <f t="shared" si="119"/>
        <v>5</v>
      </c>
      <c r="AV73" s="16">
        <f t="shared" si="120"/>
        <v>5</v>
      </c>
      <c r="AW73" s="16">
        <f t="shared" si="121"/>
        <v>4</v>
      </c>
      <c r="AX73" s="16">
        <f t="shared" si="122"/>
        <v>5</v>
      </c>
      <c r="AY73" s="16">
        <f t="shared" si="123"/>
        <v>5</v>
      </c>
      <c r="AZ73" s="16">
        <f t="shared" si="124"/>
        <v>5</v>
      </c>
      <c r="BA73" s="17">
        <f t="shared" si="125"/>
        <v>6</v>
      </c>
    </row>
    <row r="74" spans="1:53" ht="15.6" x14ac:dyDescent="0.3">
      <c r="A74" s="203" t="s">
        <v>68</v>
      </c>
      <c r="B74" s="257">
        <v>44044</v>
      </c>
      <c r="C74" s="94">
        <v>44078</v>
      </c>
      <c r="D74" s="237">
        <v>6160</v>
      </c>
      <c r="E74" s="96">
        <v>3520</v>
      </c>
      <c r="F74" s="97">
        <v>0</v>
      </c>
      <c r="G74" s="95">
        <v>17520</v>
      </c>
      <c r="H74" s="96">
        <v>9420</v>
      </c>
      <c r="I74" s="97">
        <v>0</v>
      </c>
      <c r="J74" s="95">
        <v>13690</v>
      </c>
      <c r="K74" s="96">
        <v>7060</v>
      </c>
      <c r="L74" s="97">
        <v>0</v>
      </c>
      <c r="M74" s="95">
        <v>13652</v>
      </c>
      <c r="N74" s="96">
        <v>7056</v>
      </c>
      <c r="O74" s="97">
        <v>0</v>
      </c>
      <c r="P74" s="95">
        <v>7749</v>
      </c>
      <c r="Q74" s="96">
        <v>3503</v>
      </c>
      <c r="R74" s="97">
        <v>0</v>
      </c>
      <c r="S74" s="95">
        <v>4130</v>
      </c>
      <c r="T74" s="96">
        <v>2360</v>
      </c>
      <c r="U74" s="97">
        <v>0</v>
      </c>
      <c r="V74" s="95">
        <v>8730</v>
      </c>
      <c r="W74" s="96">
        <v>5300</v>
      </c>
      <c r="X74" s="97">
        <v>0</v>
      </c>
      <c r="Y74" s="95">
        <v>5280</v>
      </c>
      <c r="Z74" s="96">
        <v>2650</v>
      </c>
      <c r="AA74" s="97">
        <v>0</v>
      </c>
      <c r="AB74" s="95">
        <v>5280</v>
      </c>
      <c r="AC74" s="96">
        <v>2650</v>
      </c>
      <c r="AD74" s="97">
        <v>0</v>
      </c>
      <c r="AE74" s="95">
        <v>9890</v>
      </c>
      <c r="AF74" s="96">
        <v>5880</v>
      </c>
      <c r="AG74" s="97">
        <v>0</v>
      </c>
      <c r="AH74" s="265">
        <f>+Janvier!AJ74</f>
        <v>3278.4478021978025</v>
      </c>
      <c r="AI74" s="231">
        <f>+Janvier!AK74</f>
        <v>10199.615384615387</v>
      </c>
      <c r="AJ74" s="231">
        <f>+Janvier!AL74</f>
        <v>7649.7115384615381</v>
      </c>
      <c r="AK74" s="231">
        <f>+Janvier!AM74</f>
        <v>7649.7115384615381</v>
      </c>
      <c r="AL74" s="231">
        <f>+Janvier!AN74</f>
        <v>4636.188811188812</v>
      </c>
      <c r="AM74" s="231">
        <f>+Janvier!AO74</f>
        <v>2868.6418269230771</v>
      </c>
      <c r="AN74" s="231">
        <f>+Janvier!AP74</f>
        <v>5737.2836538461543</v>
      </c>
      <c r="AO74" s="231">
        <f>+Janvier!AQ74</f>
        <v>2868.6418269230771</v>
      </c>
      <c r="AP74" s="231">
        <f>+Janvier!AR74</f>
        <v>2868.6418269230771</v>
      </c>
      <c r="AQ74" s="231">
        <f>+Janvier!AS74</f>
        <v>5099.8076923076933</v>
      </c>
      <c r="AR74" s="16">
        <f t="shared" si="116"/>
        <v>5</v>
      </c>
      <c r="AS74" s="16">
        <f t="shared" si="117"/>
        <v>5</v>
      </c>
      <c r="AT74" s="16">
        <f t="shared" si="118"/>
        <v>5</v>
      </c>
      <c r="AU74" s="16">
        <f t="shared" si="119"/>
        <v>5</v>
      </c>
      <c r="AV74" s="16">
        <f t="shared" si="120"/>
        <v>4</v>
      </c>
      <c r="AW74" s="16">
        <f t="shared" si="121"/>
        <v>4</v>
      </c>
      <c r="AX74" s="16">
        <f t="shared" si="122"/>
        <v>5</v>
      </c>
      <c r="AY74" s="16">
        <f t="shared" si="123"/>
        <v>5</v>
      </c>
      <c r="AZ74" s="16">
        <f t="shared" si="124"/>
        <v>5</v>
      </c>
      <c r="BA74" s="17">
        <f t="shared" si="125"/>
        <v>6</v>
      </c>
    </row>
    <row r="75" spans="1:53" ht="15.6" x14ac:dyDescent="0.3">
      <c r="A75" s="203" t="s">
        <v>69</v>
      </c>
      <c r="B75" s="257">
        <v>44044</v>
      </c>
      <c r="C75" s="94">
        <v>44078</v>
      </c>
      <c r="D75" s="237">
        <v>5800</v>
      </c>
      <c r="E75" s="96">
        <v>4200</v>
      </c>
      <c r="F75" s="97">
        <v>0</v>
      </c>
      <c r="G75" s="95">
        <v>18300</v>
      </c>
      <c r="H75" s="96">
        <v>11320</v>
      </c>
      <c r="I75" s="97">
        <v>0</v>
      </c>
      <c r="J75" s="95">
        <v>15460</v>
      </c>
      <c r="K75" s="96">
        <v>8540</v>
      </c>
      <c r="L75" s="97">
        <v>0</v>
      </c>
      <c r="M75" s="95">
        <v>15328</v>
      </c>
      <c r="N75" s="96">
        <v>8968</v>
      </c>
      <c r="O75" s="97">
        <v>0</v>
      </c>
      <c r="P75" s="95">
        <v>9442</v>
      </c>
      <c r="Q75" s="96">
        <v>5442</v>
      </c>
      <c r="R75" s="97">
        <v>0</v>
      </c>
      <c r="S75" s="95">
        <v>4130</v>
      </c>
      <c r="T75" s="96">
        <v>2830</v>
      </c>
      <c r="U75" s="97">
        <v>0</v>
      </c>
      <c r="V75" s="95">
        <v>11230</v>
      </c>
      <c r="W75" s="96">
        <v>6730</v>
      </c>
      <c r="X75" s="97">
        <v>0</v>
      </c>
      <c r="Y75" s="95">
        <v>5820</v>
      </c>
      <c r="Z75" s="96">
        <v>3370</v>
      </c>
      <c r="AA75" s="97">
        <v>0</v>
      </c>
      <c r="AB75" s="95">
        <v>6520</v>
      </c>
      <c r="AC75" s="96">
        <v>3370</v>
      </c>
      <c r="AD75" s="97">
        <v>0</v>
      </c>
      <c r="AE75" s="95">
        <v>9890</v>
      </c>
      <c r="AF75" s="96">
        <v>7070</v>
      </c>
      <c r="AG75" s="97">
        <v>0</v>
      </c>
      <c r="AH75" s="265">
        <f>+Janvier!AJ75</f>
        <v>4167.9395604395613</v>
      </c>
      <c r="AI75" s="231">
        <f>+Janvier!AK75</f>
        <v>12966.923076923082</v>
      </c>
      <c r="AJ75" s="231">
        <f>+Janvier!AL75</f>
        <v>9725.1923076923085</v>
      </c>
      <c r="AK75" s="231">
        <f>+Janvier!AM75</f>
        <v>9725.1923076923085</v>
      </c>
      <c r="AL75" s="231">
        <f>+Janvier!AN75</f>
        <v>5894.0559440559446</v>
      </c>
      <c r="AM75" s="231">
        <f>+Janvier!AO75</f>
        <v>3646.9471153846152</v>
      </c>
      <c r="AN75" s="231">
        <f>+Janvier!AP75</f>
        <v>7293.8942307692305</v>
      </c>
      <c r="AO75" s="231">
        <f>+Janvier!AQ75</f>
        <v>3646.9471153846152</v>
      </c>
      <c r="AP75" s="231">
        <f>+Janvier!AR75</f>
        <v>3646.9471153846152</v>
      </c>
      <c r="AQ75" s="231">
        <f>+Janvier!AS75</f>
        <v>6483.4615384615408</v>
      </c>
      <c r="AR75" s="16">
        <f t="shared" si="116"/>
        <v>5</v>
      </c>
      <c r="AS75" s="16">
        <f t="shared" si="117"/>
        <v>4</v>
      </c>
      <c r="AT75" s="16">
        <f t="shared" si="118"/>
        <v>4</v>
      </c>
      <c r="AU75" s="16">
        <f t="shared" si="119"/>
        <v>5</v>
      </c>
      <c r="AV75" s="16">
        <f t="shared" si="120"/>
        <v>5</v>
      </c>
      <c r="AW75" s="16">
        <f t="shared" si="121"/>
        <v>4</v>
      </c>
      <c r="AX75" s="16">
        <f t="shared" si="122"/>
        <v>5</v>
      </c>
      <c r="AY75" s="16">
        <f t="shared" si="123"/>
        <v>5</v>
      </c>
      <c r="AZ75" s="16">
        <f t="shared" si="124"/>
        <v>5</v>
      </c>
      <c r="BA75" s="17">
        <f t="shared" si="125"/>
        <v>5</v>
      </c>
    </row>
    <row r="76" spans="1:53" ht="15.6" x14ac:dyDescent="0.3">
      <c r="A76" s="203" t="s">
        <v>70</v>
      </c>
      <c r="B76" s="257">
        <v>44044</v>
      </c>
      <c r="C76" s="94">
        <v>44078</v>
      </c>
      <c r="D76" s="237">
        <v>3780</v>
      </c>
      <c r="E76" s="96">
        <v>2060</v>
      </c>
      <c r="F76" s="97">
        <v>0</v>
      </c>
      <c r="G76" s="95">
        <v>9080</v>
      </c>
      <c r="H76" s="96">
        <v>5520</v>
      </c>
      <c r="I76" s="97">
        <v>0</v>
      </c>
      <c r="J76" s="95">
        <v>7630</v>
      </c>
      <c r="K76" s="96">
        <v>4130</v>
      </c>
      <c r="L76" s="97">
        <v>0</v>
      </c>
      <c r="M76" s="95">
        <v>7492</v>
      </c>
      <c r="N76" s="96">
        <v>4364</v>
      </c>
      <c r="O76" s="97">
        <v>0</v>
      </c>
      <c r="P76" s="95">
        <v>4996</v>
      </c>
      <c r="Q76" s="96">
        <v>2647</v>
      </c>
      <c r="R76" s="97">
        <v>0</v>
      </c>
      <c r="S76" s="95">
        <v>2460</v>
      </c>
      <c r="T76" s="96">
        <v>1375</v>
      </c>
      <c r="U76" s="97">
        <v>0</v>
      </c>
      <c r="V76" s="95">
        <v>4780</v>
      </c>
      <c r="W76" s="96">
        <v>3280</v>
      </c>
      <c r="X76" s="97">
        <v>0</v>
      </c>
      <c r="Y76" s="95">
        <v>3170</v>
      </c>
      <c r="Z76" s="96">
        <v>1640</v>
      </c>
      <c r="AA76" s="97">
        <v>0</v>
      </c>
      <c r="AB76" s="95">
        <v>2990</v>
      </c>
      <c r="AC76" s="96">
        <v>1640</v>
      </c>
      <c r="AD76" s="97">
        <v>0</v>
      </c>
      <c r="AE76" s="95">
        <v>5630</v>
      </c>
      <c r="AF76" s="96">
        <v>3440</v>
      </c>
      <c r="AG76" s="97">
        <v>0</v>
      </c>
      <c r="AH76" s="265">
        <f>+Janvier!AJ76</f>
        <v>2027.1016483516485</v>
      </c>
      <c r="AI76" s="231">
        <f>+Janvier!AK76</f>
        <v>6306.5384615384628</v>
      </c>
      <c r="AJ76" s="231">
        <f>+Janvier!AL76</f>
        <v>4729.9038461538466</v>
      </c>
      <c r="AK76" s="231">
        <f>+Janvier!AM76</f>
        <v>4729.9038461538466</v>
      </c>
      <c r="AL76" s="231">
        <f>+Janvier!AN76</f>
        <v>2866.6083916083921</v>
      </c>
      <c r="AM76" s="231">
        <f>+Janvier!AO76</f>
        <v>1773.7139423076924</v>
      </c>
      <c r="AN76" s="231">
        <f>+Janvier!AP76</f>
        <v>3547.4278846153848</v>
      </c>
      <c r="AO76" s="231">
        <f>+Janvier!AQ76</f>
        <v>1773.7139423076924</v>
      </c>
      <c r="AP76" s="231">
        <f>+Janvier!AR76</f>
        <v>1773.7139423076924</v>
      </c>
      <c r="AQ76" s="231">
        <f>+Janvier!AS76</f>
        <v>3153.2692307692314</v>
      </c>
      <c r="AR76" s="16">
        <f t="shared" si="116"/>
        <v>5</v>
      </c>
      <c r="AS76" s="16">
        <f t="shared" si="117"/>
        <v>4</v>
      </c>
      <c r="AT76" s="16">
        <f t="shared" si="118"/>
        <v>4</v>
      </c>
      <c r="AU76" s="16">
        <f t="shared" si="119"/>
        <v>5</v>
      </c>
      <c r="AV76" s="16">
        <f t="shared" si="120"/>
        <v>5</v>
      </c>
      <c r="AW76" s="16">
        <f t="shared" si="121"/>
        <v>4</v>
      </c>
      <c r="AX76" s="16">
        <f t="shared" si="122"/>
        <v>5</v>
      </c>
      <c r="AY76" s="16">
        <f t="shared" si="123"/>
        <v>5</v>
      </c>
      <c r="AZ76" s="16">
        <f t="shared" si="124"/>
        <v>5</v>
      </c>
      <c r="BA76" s="17">
        <f t="shared" si="125"/>
        <v>5</v>
      </c>
    </row>
    <row r="77" spans="1:53" ht="15.6" x14ac:dyDescent="0.3">
      <c r="A77" s="203" t="s">
        <v>71</v>
      </c>
      <c r="B77" s="257">
        <v>44044</v>
      </c>
      <c r="C77" s="94">
        <v>44078</v>
      </c>
      <c r="D77" s="237">
        <v>5060</v>
      </c>
      <c r="E77" s="96">
        <v>3780</v>
      </c>
      <c r="F77" s="97">
        <v>0</v>
      </c>
      <c r="G77" s="95">
        <v>11360</v>
      </c>
      <c r="H77" s="96">
        <v>10120</v>
      </c>
      <c r="I77" s="97">
        <v>0</v>
      </c>
      <c r="J77" s="95">
        <v>10130</v>
      </c>
      <c r="K77" s="96">
        <v>8370</v>
      </c>
      <c r="L77" s="97">
        <v>0</v>
      </c>
      <c r="M77" s="95">
        <v>9384</v>
      </c>
      <c r="N77" s="96">
        <v>7584</v>
      </c>
      <c r="O77" s="97">
        <v>0</v>
      </c>
      <c r="P77" s="95">
        <v>5682</v>
      </c>
      <c r="Q77" s="96">
        <v>4602</v>
      </c>
      <c r="R77" s="97">
        <v>0</v>
      </c>
      <c r="S77" s="95">
        <v>3290</v>
      </c>
      <c r="T77" s="96">
        <v>2530</v>
      </c>
      <c r="U77" s="97">
        <v>0</v>
      </c>
      <c r="V77" s="95">
        <v>5380</v>
      </c>
      <c r="W77" s="96">
        <v>5700</v>
      </c>
      <c r="X77" s="97">
        <v>0</v>
      </c>
      <c r="Y77" s="95">
        <v>3670</v>
      </c>
      <c r="Z77" s="96">
        <v>2850</v>
      </c>
      <c r="AA77" s="97">
        <v>0</v>
      </c>
      <c r="AB77" s="95">
        <v>4970</v>
      </c>
      <c r="AC77" s="96">
        <v>3910</v>
      </c>
      <c r="AD77" s="97">
        <v>0</v>
      </c>
      <c r="AE77" s="95">
        <v>6940</v>
      </c>
      <c r="AF77" s="96">
        <v>8160</v>
      </c>
      <c r="AG77" s="97">
        <v>0</v>
      </c>
      <c r="AH77" s="265">
        <f>+Janvier!AJ77</f>
        <v>3524.4642857142853</v>
      </c>
      <c r="AI77" s="231">
        <f>+Janvier!AK77</f>
        <v>10965.000000000002</v>
      </c>
      <c r="AJ77" s="231">
        <f>+Janvier!AL77</f>
        <v>8223.75</v>
      </c>
      <c r="AK77" s="231">
        <f>+Janvier!AM77</f>
        <v>8223.75</v>
      </c>
      <c r="AL77" s="231">
        <f>+Janvier!AN77</f>
        <v>4984.0909090909099</v>
      </c>
      <c r="AM77" s="231">
        <f>+Janvier!AO77</f>
        <v>3083.9062500000005</v>
      </c>
      <c r="AN77" s="231">
        <f>+Janvier!AP77</f>
        <v>6167.8125000000009</v>
      </c>
      <c r="AO77" s="231">
        <f>+Janvier!AQ77</f>
        <v>3083.9062500000005</v>
      </c>
      <c r="AP77" s="231">
        <f>+Janvier!AR77</f>
        <v>3083.9062500000005</v>
      </c>
      <c r="AQ77" s="231">
        <f>+Janvier!AS77</f>
        <v>5482.5000000000009</v>
      </c>
      <c r="AR77" s="16">
        <f t="shared" si="116"/>
        <v>5</v>
      </c>
      <c r="AS77" s="16">
        <f t="shared" si="117"/>
        <v>5</v>
      </c>
      <c r="AT77" s="16">
        <f t="shared" si="118"/>
        <v>5</v>
      </c>
      <c r="AU77" s="16">
        <f t="shared" si="119"/>
        <v>5</v>
      </c>
      <c r="AV77" s="16">
        <f t="shared" si="120"/>
        <v>5</v>
      </c>
      <c r="AW77" s="16">
        <f t="shared" si="121"/>
        <v>4</v>
      </c>
      <c r="AX77" s="16">
        <f t="shared" si="122"/>
        <v>5</v>
      </c>
      <c r="AY77" s="16">
        <f t="shared" si="123"/>
        <v>5</v>
      </c>
      <c r="AZ77" s="16">
        <f t="shared" si="124"/>
        <v>6</v>
      </c>
      <c r="BA77" s="17">
        <f t="shared" si="125"/>
        <v>7</v>
      </c>
    </row>
    <row r="78" spans="1:53" ht="15.6" x14ac:dyDescent="0.3">
      <c r="A78" s="203" t="s">
        <v>72</v>
      </c>
      <c r="B78" s="257">
        <v>44044</v>
      </c>
      <c r="C78" s="94">
        <v>44078</v>
      </c>
      <c r="D78" s="237">
        <v>1200</v>
      </c>
      <c r="E78" s="96">
        <v>420</v>
      </c>
      <c r="F78" s="97">
        <v>0</v>
      </c>
      <c r="G78" s="95">
        <v>3000</v>
      </c>
      <c r="H78" s="96">
        <v>1240</v>
      </c>
      <c r="I78" s="97">
        <v>0</v>
      </c>
      <c r="J78" s="95">
        <v>2200</v>
      </c>
      <c r="K78" s="96">
        <v>1000</v>
      </c>
      <c r="L78" s="97">
        <v>0</v>
      </c>
      <c r="M78" s="95">
        <v>2240</v>
      </c>
      <c r="N78" s="96">
        <v>1000</v>
      </c>
      <c r="O78" s="97">
        <v>0</v>
      </c>
      <c r="P78" s="95">
        <v>1200</v>
      </c>
      <c r="Q78" s="96">
        <v>600</v>
      </c>
      <c r="R78" s="97">
        <v>0</v>
      </c>
      <c r="S78" s="95">
        <v>650</v>
      </c>
      <c r="T78" s="96">
        <v>400</v>
      </c>
      <c r="U78" s="97">
        <v>0</v>
      </c>
      <c r="V78" s="95">
        <v>1200</v>
      </c>
      <c r="W78" s="96">
        <v>830</v>
      </c>
      <c r="X78" s="97">
        <v>0</v>
      </c>
      <c r="Y78" s="95">
        <v>1000</v>
      </c>
      <c r="Z78" s="96">
        <v>390</v>
      </c>
      <c r="AA78" s="97">
        <v>0</v>
      </c>
      <c r="AB78" s="95">
        <v>700</v>
      </c>
      <c r="AC78" s="96">
        <v>390</v>
      </c>
      <c r="AD78" s="97">
        <v>0</v>
      </c>
      <c r="AE78" s="95">
        <v>1300</v>
      </c>
      <c r="AF78" s="96">
        <v>670</v>
      </c>
      <c r="AG78" s="97">
        <v>0</v>
      </c>
      <c r="AH78" s="265">
        <f>+Janvier!AJ78</f>
        <v>304.98626373626377</v>
      </c>
      <c r="AI78" s="231">
        <f>+Janvier!AK78</f>
        <v>948.84615384615404</v>
      </c>
      <c r="AJ78" s="231">
        <f>+Janvier!AL78</f>
        <v>711.63461538461547</v>
      </c>
      <c r="AK78" s="231">
        <f>+Janvier!AM78</f>
        <v>711.63461538461547</v>
      </c>
      <c r="AL78" s="231">
        <f>+Janvier!AN78</f>
        <v>431.29370629370635</v>
      </c>
      <c r="AM78" s="231">
        <f>+Janvier!AO78</f>
        <v>266.86298076923077</v>
      </c>
      <c r="AN78" s="231">
        <f>+Janvier!AP78</f>
        <v>533.72596153846155</v>
      </c>
      <c r="AO78" s="231">
        <f>+Janvier!AQ78</f>
        <v>266.86298076923077</v>
      </c>
      <c r="AP78" s="231">
        <f>+Janvier!AR78</f>
        <v>266.86298076923077</v>
      </c>
      <c r="AQ78" s="231">
        <f>+Janvier!AS78</f>
        <v>474.42307692307702</v>
      </c>
      <c r="AR78" s="16">
        <f t="shared" si="116"/>
        <v>7</v>
      </c>
      <c r="AS78" s="16">
        <f t="shared" si="117"/>
        <v>7</v>
      </c>
      <c r="AT78" s="16">
        <f t="shared" si="118"/>
        <v>7</v>
      </c>
      <c r="AU78" s="16">
        <f t="shared" si="119"/>
        <v>7</v>
      </c>
      <c r="AV78" s="16">
        <f t="shared" si="120"/>
        <v>7</v>
      </c>
      <c r="AW78" s="16">
        <f t="shared" si="121"/>
        <v>7</v>
      </c>
      <c r="AX78" s="16">
        <f t="shared" si="122"/>
        <v>8</v>
      </c>
      <c r="AY78" s="16">
        <f t="shared" si="123"/>
        <v>7</v>
      </c>
      <c r="AZ78" s="16">
        <f t="shared" si="124"/>
        <v>7</v>
      </c>
      <c r="BA78" s="17">
        <f t="shared" si="125"/>
        <v>7</v>
      </c>
    </row>
    <row r="79" spans="1:53" ht="16.2" thickBot="1" x14ac:dyDescent="0.35">
      <c r="A79" s="203" t="s">
        <v>73</v>
      </c>
      <c r="B79" s="270">
        <v>44044</v>
      </c>
      <c r="C79" s="255">
        <v>44078</v>
      </c>
      <c r="D79" s="269">
        <v>4760</v>
      </c>
      <c r="E79" s="109">
        <v>2860</v>
      </c>
      <c r="F79" s="110">
        <v>0</v>
      </c>
      <c r="G79" s="111">
        <v>12980</v>
      </c>
      <c r="H79" s="109">
        <v>7640</v>
      </c>
      <c r="I79" s="110">
        <v>0</v>
      </c>
      <c r="J79" s="111">
        <v>10860</v>
      </c>
      <c r="K79" s="109">
        <v>5730</v>
      </c>
      <c r="L79" s="110">
        <v>0</v>
      </c>
      <c r="M79" s="111">
        <v>9880</v>
      </c>
      <c r="N79" s="109">
        <v>5728</v>
      </c>
      <c r="O79" s="110">
        <v>0</v>
      </c>
      <c r="P79" s="111">
        <v>6251</v>
      </c>
      <c r="Q79" s="109">
        <v>3473</v>
      </c>
      <c r="R79" s="110">
        <v>0</v>
      </c>
      <c r="S79" s="111">
        <v>3310</v>
      </c>
      <c r="T79" s="109">
        <v>1910</v>
      </c>
      <c r="U79" s="110">
        <v>0</v>
      </c>
      <c r="V79" s="111">
        <v>6010</v>
      </c>
      <c r="W79" s="109">
        <v>4300</v>
      </c>
      <c r="X79" s="110">
        <v>0</v>
      </c>
      <c r="Y79" s="111">
        <v>4300</v>
      </c>
      <c r="Z79" s="109">
        <v>2150</v>
      </c>
      <c r="AA79" s="110">
        <v>0</v>
      </c>
      <c r="AB79" s="111">
        <v>3620</v>
      </c>
      <c r="AC79" s="109">
        <v>1670</v>
      </c>
      <c r="AD79" s="110">
        <v>0</v>
      </c>
      <c r="AE79" s="111">
        <v>5240</v>
      </c>
      <c r="AF79" s="109">
        <v>2760</v>
      </c>
      <c r="AG79" s="110">
        <v>0</v>
      </c>
      <c r="AH79" s="265">
        <f>+Janvier!AJ79</f>
        <v>2652.2802197802202</v>
      </c>
      <c r="AI79" s="231">
        <f>+Janvier!AK79</f>
        <v>8251.5384615384628</v>
      </c>
      <c r="AJ79" s="231">
        <f>+Janvier!AL79</f>
        <v>6188.6538461538466</v>
      </c>
      <c r="AK79" s="231">
        <f>+Janvier!AM79</f>
        <v>6188.6538461538466</v>
      </c>
      <c r="AL79" s="231">
        <f>+Janvier!AN79</f>
        <v>3750.6993006993016</v>
      </c>
      <c r="AM79" s="231">
        <f>+Janvier!AO79</f>
        <v>2320.7451923076924</v>
      </c>
      <c r="AN79" s="231">
        <f>+Janvier!AP79</f>
        <v>4641.4903846153848</v>
      </c>
      <c r="AO79" s="231">
        <f>+Janvier!AQ79</f>
        <v>2320.7451923076924</v>
      </c>
      <c r="AP79" s="231">
        <f>+Janvier!AR79</f>
        <v>2320.7451923076924</v>
      </c>
      <c r="AQ79" s="231">
        <f>+Janvier!AS79</f>
        <v>4125.7692307692314</v>
      </c>
      <c r="AR79" s="32">
        <f t="shared" si="116"/>
        <v>5</v>
      </c>
      <c r="AS79" s="32">
        <f t="shared" si="117"/>
        <v>5</v>
      </c>
      <c r="AT79" s="32">
        <f t="shared" si="118"/>
        <v>5</v>
      </c>
      <c r="AU79" s="32">
        <f t="shared" si="119"/>
        <v>5</v>
      </c>
      <c r="AV79" s="32">
        <f t="shared" si="120"/>
        <v>5</v>
      </c>
      <c r="AW79" s="32">
        <f t="shared" si="121"/>
        <v>4</v>
      </c>
      <c r="AX79" s="32">
        <f t="shared" si="122"/>
        <v>5</v>
      </c>
      <c r="AY79" s="32">
        <f t="shared" si="123"/>
        <v>5</v>
      </c>
      <c r="AZ79" s="32">
        <f t="shared" si="124"/>
        <v>4</v>
      </c>
      <c r="BA79" s="33">
        <f t="shared" si="125"/>
        <v>3</v>
      </c>
    </row>
    <row r="80" spans="1:53" ht="15.6" hidden="1" x14ac:dyDescent="0.3">
      <c r="A80" s="202" t="s">
        <v>90</v>
      </c>
      <c r="B80" s="160">
        <v>44044</v>
      </c>
      <c r="C80" s="160">
        <v>44074</v>
      </c>
      <c r="D80" s="113">
        <v>12000</v>
      </c>
      <c r="E80" s="114">
        <v>14800</v>
      </c>
      <c r="F80" s="115">
        <v>0</v>
      </c>
      <c r="G80" s="113">
        <v>25000</v>
      </c>
      <c r="H80" s="114">
        <v>43500</v>
      </c>
      <c r="I80" s="115">
        <v>0</v>
      </c>
      <c r="J80" s="113">
        <v>13000</v>
      </c>
      <c r="K80" s="114">
        <v>32100</v>
      </c>
      <c r="L80" s="115">
        <v>0</v>
      </c>
      <c r="M80" s="113">
        <v>0</v>
      </c>
      <c r="N80" s="114">
        <v>19600</v>
      </c>
      <c r="O80" s="115">
        <v>0</v>
      </c>
      <c r="P80" s="113">
        <v>7750</v>
      </c>
      <c r="Q80" s="114">
        <v>19500</v>
      </c>
      <c r="R80" s="115">
        <v>0</v>
      </c>
      <c r="S80" s="113">
        <v>7200</v>
      </c>
      <c r="T80" s="114">
        <v>13700</v>
      </c>
      <c r="U80" s="115">
        <v>0</v>
      </c>
      <c r="V80" s="113">
        <v>5500</v>
      </c>
      <c r="W80" s="114">
        <v>24400</v>
      </c>
      <c r="X80" s="115">
        <v>0</v>
      </c>
      <c r="Y80" s="113">
        <v>4500</v>
      </c>
      <c r="Z80" s="114">
        <v>12100</v>
      </c>
      <c r="AA80" s="115">
        <v>0</v>
      </c>
      <c r="AB80" s="113">
        <v>4200</v>
      </c>
      <c r="AC80" s="114">
        <v>12100</v>
      </c>
      <c r="AD80" s="115">
        <v>0</v>
      </c>
      <c r="AE80" s="113">
        <v>0</v>
      </c>
      <c r="AF80" s="114">
        <v>21700</v>
      </c>
      <c r="AG80" s="115">
        <v>0</v>
      </c>
      <c r="AH80" s="231">
        <f>+Janvier!AJ80</f>
        <v>17212.634999999998</v>
      </c>
      <c r="AI80" s="231">
        <f>+Janvier!AK80</f>
        <v>59198.798076923078</v>
      </c>
      <c r="AJ80" s="231">
        <f>+Janvier!AL80</f>
        <v>39426.39951923077</v>
      </c>
      <c r="AK80" s="231">
        <f>+Janvier!AM80</f>
        <v>39426.39951923077</v>
      </c>
      <c r="AL80" s="231">
        <f>+Janvier!AN80</f>
        <v>24863.495192307691</v>
      </c>
      <c r="AM80" s="231">
        <f>+Janvier!AO80</f>
        <v>14799.69951923077</v>
      </c>
      <c r="AN80" s="231">
        <f>+Janvier!AP80</f>
        <v>29599.399038461539</v>
      </c>
      <c r="AO80" s="231">
        <f>+Janvier!AQ80</f>
        <v>14799.69951923077</v>
      </c>
      <c r="AP80" s="231">
        <f>+Janvier!AR80</f>
        <v>14799.69951923077</v>
      </c>
      <c r="AQ80" s="231">
        <f>+Janvier!AS80</f>
        <v>26721.713076923079</v>
      </c>
      <c r="AR80" s="16">
        <f>ROUND(E80/(AH80/15),0)</f>
        <v>13</v>
      </c>
      <c r="AS80" s="16">
        <f t="shared" ref="AS80" si="126">ROUND(H80/(AI80/15),0)</f>
        <v>11</v>
      </c>
      <c r="AT80" s="16">
        <f t="shared" ref="AT80" si="127">ROUND(K80/(AJ80/15),0)</f>
        <v>12</v>
      </c>
      <c r="AU80" s="16">
        <f t="shared" ref="AU80" si="128">ROUND(N80/(AK80/15),0)</f>
        <v>7</v>
      </c>
      <c r="AV80" s="16">
        <f t="shared" ref="AV80" si="129">ROUND(Q80/(AL80/15),0)</f>
        <v>12</v>
      </c>
      <c r="AW80" s="16">
        <f t="shared" ref="AW80" si="130">ROUND(T80/(AM80/15),0)</f>
        <v>14</v>
      </c>
      <c r="AX80" s="16">
        <f t="shared" ref="AX80" si="131">ROUND(W80/(AN80/15),0)</f>
        <v>12</v>
      </c>
      <c r="AY80" s="16">
        <f t="shared" ref="AY80" si="132">ROUND(Z80/(AO80/15),0)</f>
        <v>12</v>
      </c>
      <c r="AZ80" s="16">
        <f t="shared" ref="AZ80" si="133">ROUND(AC80/(AP80/15),0)</f>
        <v>12</v>
      </c>
      <c r="BA80" s="17">
        <f t="shared" ref="BA80" si="134">ROUND(AF80/(AQ80/15),0)</f>
        <v>12</v>
      </c>
    </row>
    <row r="81" spans="1:53" ht="15.6" x14ac:dyDescent="0.3">
      <c r="A81" s="199" t="s">
        <v>74</v>
      </c>
      <c r="B81" s="257" t="s">
        <v>148</v>
      </c>
      <c r="C81" s="94">
        <v>44074</v>
      </c>
      <c r="D81" s="116">
        <v>1200</v>
      </c>
      <c r="E81" s="106">
        <v>160</v>
      </c>
      <c r="F81" s="117">
        <v>0</v>
      </c>
      <c r="G81" s="116">
        <v>4000</v>
      </c>
      <c r="H81" s="106">
        <v>700</v>
      </c>
      <c r="I81" s="117">
        <v>0</v>
      </c>
      <c r="J81" s="116">
        <v>2400</v>
      </c>
      <c r="K81" s="106">
        <v>710</v>
      </c>
      <c r="L81" s="117">
        <v>0</v>
      </c>
      <c r="M81" s="116">
        <v>2200</v>
      </c>
      <c r="N81" s="106">
        <v>752</v>
      </c>
      <c r="O81" s="117">
        <v>0</v>
      </c>
      <c r="P81" s="116">
        <v>1650</v>
      </c>
      <c r="Q81" s="106">
        <v>159</v>
      </c>
      <c r="R81" s="117">
        <v>0</v>
      </c>
      <c r="S81" s="116">
        <v>850</v>
      </c>
      <c r="T81" s="106">
        <v>555</v>
      </c>
      <c r="U81" s="117">
        <v>0</v>
      </c>
      <c r="V81" s="116">
        <v>1200</v>
      </c>
      <c r="W81" s="106">
        <v>1480</v>
      </c>
      <c r="X81" s="117">
        <v>0</v>
      </c>
      <c r="Y81" s="116">
        <v>1100</v>
      </c>
      <c r="Z81" s="106">
        <v>180</v>
      </c>
      <c r="AA81" s="117">
        <v>0</v>
      </c>
      <c r="AB81" s="116">
        <v>1000</v>
      </c>
      <c r="AC81" s="106">
        <v>60</v>
      </c>
      <c r="AD81" s="117">
        <v>0</v>
      </c>
      <c r="AE81" s="116">
        <v>2000</v>
      </c>
      <c r="AF81" s="106">
        <v>1700</v>
      </c>
      <c r="AG81" s="117">
        <v>0</v>
      </c>
      <c r="AH81" s="231">
        <f>+Janvier!AJ81</f>
        <v>1153.1868131868132</v>
      </c>
      <c r="AI81" s="231">
        <f>+Janvier!AK81</f>
        <v>3587.6923076923085</v>
      </c>
      <c r="AJ81" s="231">
        <f>+Janvier!AL81</f>
        <v>2690.7692307692309</v>
      </c>
      <c r="AK81" s="231">
        <f>+Janvier!AM81</f>
        <v>2690.7692307692309</v>
      </c>
      <c r="AL81" s="231">
        <f>+Janvier!AN81</f>
        <v>1630.7692307692312</v>
      </c>
      <c r="AM81" s="231">
        <f>+Janvier!AO81</f>
        <v>1009.0384615384617</v>
      </c>
      <c r="AN81" s="231">
        <f>+Janvier!AP81</f>
        <v>2018.0769230769233</v>
      </c>
      <c r="AO81" s="231">
        <f>+Janvier!AQ81</f>
        <v>1009.0384615384617</v>
      </c>
      <c r="AP81" s="231">
        <f>+Janvier!AR81</f>
        <v>1009.0384615384617</v>
      </c>
      <c r="AQ81" s="231">
        <f>+Janvier!AS81</f>
        <v>1793.8461538461543</v>
      </c>
      <c r="AR81" s="16">
        <f>ROUND(E81/(AH81/5),0)</f>
        <v>1</v>
      </c>
      <c r="AS81" s="16">
        <f t="shared" ref="AS81:AS85" si="135">ROUND(H81/(AI81/5),0)</f>
        <v>1</v>
      </c>
      <c r="AT81" s="16">
        <f t="shared" ref="AT81:AT85" si="136">ROUND(K81/(AJ81/5),0)</f>
        <v>1</v>
      </c>
      <c r="AU81" s="16">
        <f t="shared" ref="AU81:AU85" si="137">ROUND(N81/(AK81/5),0)</f>
        <v>1</v>
      </c>
      <c r="AV81" s="16">
        <f t="shared" ref="AV81:AV85" si="138">ROUND(Q81/(AL81/5),0)</f>
        <v>0</v>
      </c>
      <c r="AW81" s="16">
        <f t="shared" ref="AW81:AW85" si="139">ROUND(T81/(AM81/5),0)</f>
        <v>3</v>
      </c>
      <c r="AX81" s="16">
        <f t="shared" ref="AX81:AX85" si="140">ROUND(W81/(AN81/5),0)</f>
        <v>4</v>
      </c>
      <c r="AY81" s="16">
        <f t="shared" ref="AY81:AY85" si="141">ROUND(Z81/(AO81/5),0)</f>
        <v>1</v>
      </c>
      <c r="AZ81" s="16">
        <f t="shared" ref="AZ81:AZ85" si="142">ROUND(AC81/(AP81/5),0)</f>
        <v>0</v>
      </c>
      <c r="BA81" s="17">
        <f t="shared" ref="BA81:BA85" si="143">ROUND(AF81/(AQ81/5),0)</f>
        <v>5</v>
      </c>
    </row>
    <row r="82" spans="1:53" ht="15.6" x14ac:dyDescent="0.3">
      <c r="A82" s="199" t="s">
        <v>75</v>
      </c>
      <c r="B82" s="257" t="s">
        <v>148</v>
      </c>
      <c r="C82" s="94">
        <v>44074</v>
      </c>
      <c r="D82" s="95">
        <v>1000</v>
      </c>
      <c r="E82" s="96">
        <v>1000</v>
      </c>
      <c r="F82" s="97">
        <v>0</v>
      </c>
      <c r="G82" s="95">
        <v>4500</v>
      </c>
      <c r="H82" s="96">
        <v>820</v>
      </c>
      <c r="I82" s="97">
        <v>0</v>
      </c>
      <c r="J82" s="95">
        <v>3300</v>
      </c>
      <c r="K82" s="96">
        <v>890</v>
      </c>
      <c r="L82" s="97">
        <v>0</v>
      </c>
      <c r="M82" s="95">
        <v>3200</v>
      </c>
      <c r="N82" s="96">
        <v>904</v>
      </c>
      <c r="O82" s="97">
        <v>0</v>
      </c>
      <c r="P82" s="95">
        <v>2100</v>
      </c>
      <c r="Q82" s="96">
        <v>557</v>
      </c>
      <c r="R82" s="97">
        <v>0</v>
      </c>
      <c r="S82" s="95">
        <v>1050</v>
      </c>
      <c r="T82" s="96">
        <v>210</v>
      </c>
      <c r="U82" s="97">
        <v>0</v>
      </c>
      <c r="V82" s="95">
        <v>1000</v>
      </c>
      <c r="W82" s="96">
        <v>1670</v>
      </c>
      <c r="X82" s="97">
        <v>0</v>
      </c>
      <c r="Y82" s="95">
        <v>1000</v>
      </c>
      <c r="Z82" s="96">
        <v>330</v>
      </c>
      <c r="AA82" s="97">
        <v>0</v>
      </c>
      <c r="AB82" s="95">
        <v>1000</v>
      </c>
      <c r="AC82" s="96">
        <v>330</v>
      </c>
      <c r="AD82" s="97">
        <v>0</v>
      </c>
      <c r="AE82" s="95">
        <v>1500</v>
      </c>
      <c r="AF82" s="96">
        <v>1160</v>
      </c>
      <c r="AG82" s="97">
        <v>0</v>
      </c>
      <c r="AH82" s="231">
        <f>+Janvier!AJ82</f>
        <v>1355.5631868131868</v>
      </c>
      <c r="AI82" s="231">
        <f>+Janvier!AK82</f>
        <v>4217.3076923076924</v>
      </c>
      <c r="AJ82" s="231">
        <f>+Janvier!AL82</f>
        <v>3162.9807692307691</v>
      </c>
      <c r="AK82" s="231">
        <f>+Janvier!AM82</f>
        <v>3162.9807692307691</v>
      </c>
      <c r="AL82" s="231">
        <f>+Janvier!AN82</f>
        <v>1916.9580419580418</v>
      </c>
      <c r="AM82" s="231">
        <f>+Janvier!AO82</f>
        <v>1186.1177884615383</v>
      </c>
      <c r="AN82" s="231">
        <f>+Janvier!AP82</f>
        <v>2372.2355769230767</v>
      </c>
      <c r="AO82" s="231">
        <f>+Janvier!AQ82</f>
        <v>1186.1177884615383</v>
      </c>
      <c r="AP82" s="231">
        <f>+Janvier!AR82</f>
        <v>1186.1177884615383</v>
      </c>
      <c r="AQ82" s="231">
        <f>+Janvier!AS82</f>
        <v>2108.6538461538462</v>
      </c>
      <c r="AR82" s="16">
        <f>ROUND(E82/(AH82/5),0)</f>
        <v>4</v>
      </c>
      <c r="AS82" s="16">
        <f t="shared" si="135"/>
        <v>1</v>
      </c>
      <c r="AT82" s="16">
        <f t="shared" si="136"/>
        <v>1</v>
      </c>
      <c r="AU82" s="16">
        <f t="shared" si="137"/>
        <v>1</v>
      </c>
      <c r="AV82" s="16">
        <f t="shared" si="138"/>
        <v>1</v>
      </c>
      <c r="AW82" s="16">
        <f t="shared" si="139"/>
        <v>1</v>
      </c>
      <c r="AX82" s="16">
        <f t="shared" si="140"/>
        <v>4</v>
      </c>
      <c r="AY82" s="16">
        <f t="shared" si="141"/>
        <v>1</v>
      </c>
      <c r="AZ82" s="16">
        <f t="shared" si="142"/>
        <v>1</v>
      </c>
      <c r="BA82" s="17">
        <f t="shared" si="143"/>
        <v>3</v>
      </c>
    </row>
    <row r="83" spans="1:53" ht="15.6" x14ac:dyDescent="0.3">
      <c r="A83" s="199" t="s">
        <v>76</v>
      </c>
      <c r="B83" s="257" t="s">
        <v>148</v>
      </c>
      <c r="C83" s="94">
        <v>44074</v>
      </c>
      <c r="D83" s="95">
        <v>1800</v>
      </c>
      <c r="E83" s="96">
        <v>500</v>
      </c>
      <c r="F83" s="97">
        <v>0</v>
      </c>
      <c r="G83" s="95">
        <v>3000</v>
      </c>
      <c r="H83" s="96">
        <v>560</v>
      </c>
      <c r="I83" s="97">
        <v>0</v>
      </c>
      <c r="J83" s="95">
        <v>1700</v>
      </c>
      <c r="K83" s="96">
        <v>480</v>
      </c>
      <c r="L83" s="97">
        <v>0</v>
      </c>
      <c r="M83" s="95">
        <v>2000</v>
      </c>
      <c r="N83" s="96">
        <v>992</v>
      </c>
      <c r="O83" s="97">
        <v>0</v>
      </c>
      <c r="P83" s="95">
        <v>1500</v>
      </c>
      <c r="Q83" s="96">
        <v>565</v>
      </c>
      <c r="R83" s="97">
        <v>0</v>
      </c>
      <c r="S83" s="95">
        <v>600</v>
      </c>
      <c r="T83" s="96">
        <v>505</v>
      </c>
      <c r="U83" s="97">
        <v>0</v>
      </c>
      <c r="V83" s="95">
        <v>1000</v>
      </c>
      <c r="W83" s="96">
        <v>1230</v>
      </c>
      <c r="X83" s="97">
        <v>0</v>
      </c>
      <c r="Y83" s="95">
        <v>500</v>
      </c>
      <c r="Z83" s="96">
        <v>280</v>
      </c>
      <c r="AA83" s="97">
        <v>0</v>
      </c>
      <c r="AB83" s="95">
        <v>600</v>
      </c>
      <c r="AC83" s="96">
        <v>400</v>
      </c>
      <c r="AD83" s="97">
        <v>0</v>
      </c>
      <c r="AE83" s="95">
        <v>1500</v>
      </c>
      <c r="AF83" s="96">
        <v>980</v>
      </c>
      <c r="AG83" s="97">
        <v>0</v>
      </c>
      <c r="AH83" s="231">
        <f>+Janvier!AJ83</f>
        <v>895.92032967032981</v>
      </c>
      <c r="AI83" s="231">
        <f>+Janvier!AK83</f>
        <v>2787.3076923076928</v>
      </c>
      <c r="AJ83" s="231">
        <f>+Janvier!AL83</f>
        <v>2090.4807692307695</v>
      </c>
      <c r="AK83" s="231">
        <f>+Janvier!AM83</f>
        <v>2090.4807692307695</v>
      </c>
      <c r="AL83" s="231">
        <f>+Janvier!AN83</f>
        <v>1266.958041958042</v>
      </c>
      <c r="AM83" s="231">
        <f>+Janvier!AO83</f>
        <v>783.93028846153834</v>
      </c>
      <c r="AN83" s="231">
        <f>+Janvier!AP83</f>
        <v>1567.8605769230767</v>
      </c>
      <c r="AO83" s="231">
        <f>+Janvier!AQ83</f>
        <v>783.93028846153834</v>
      </c>
      <c r="AP83" s="231">
        <f>+Janvier!AR83</f>
        <v>783.93028846153834</v>
      </c>
      <c r="AQ83" s="231">
        <f>+Janvier!AS83</f>
        <v>1393.6538461538464</v>
      </c>
      <c r="AR83" s="16">
        <f>ROUND(E83/(AH83/5),0)</f>
        <v>3</v>
      </c>
      <c r="AS83" s="16">
        <f t="shared" si="135"/>
        <v>1</v>
      </c>
      <c r="AT83" s="16">
        <f t="shared" si="136"/>
        <v>1</v>
      </c>
      <c r="AU83" s="16">
        <f t="shared" si="137"/>
        <v>2</v>
      </c>
      <c r="AV83" s="16">
        <f t="shared" si="138"/>
        <v>2</v>
      </c>
      <c r="AW83" s="16">
        <f t="shared" si="139"/>
        <v>3</v>
      </c>
      <c r="AX83" s="16">
        <f t="shared" si="140"/>
        <v>4</v>
      </c>
      <c r="AY83" s="16">
        <f t="shared" si="141"/>
        <v>2</v>
      </c>
      <c r="AZ83" s="16">
        <f t="shared" si="142"/>
        <v>3</v>
      </c>
      <c r="BA83" s="17">
        <f t="shared" si="143"/>
        <v>4</v>
      </c>
    </row>
    <row r="84" spans="1:53" ht="15.6" x14ac:dyDescent="0.3">
      <c r="A84" s="199" t="s">
        <v>77</v>
      </c>
      <c r="B84" s="257" t="s">
        <v>148</v>
      </c>
      <c r="C84" s="94">
        <v>44074</v>
      </c>
      <c r="D84" s="95">
        <v>1600</v>
      </c>
      <c r="E84" s="96">
        <v>620</v>
      </c>
      <c r="F84" s="97">
        <v>0</v>
      </c>
      <c r="G84" s="95">
        <v>5000</v>
      </c>
      <c r="H84" s="96">
        <v>820</v>
      </c>
      <c r="I84" s="97">
        <v>0</v>
      </c>
      <c r="J84" s="95">
        <v>3800</v>
      </c>
      <c r="K84" s="96">
        <v>800</v>
      </c>
      <c r="L84" s="97">
        <v>0</v>
      </c>
      <c r="M84" s="95">
        <v>3800</v>
      </c>
      <c r="N84" s="96">
        <v>792</v>
      </c>
      <c r="O84" s="97">
        <v>0</v>
      </c>
      <c r="P84" s="95">
        <v>2500</v>
      </c>
      <c r="Q84" s="96">
        <v>166</v>
      </c>
      <c r="R84" s="97">
        <v>0</v>
      </c>
      <c r="S84" s="95">
        <v>950</v>
      </c>
      <c r="T84" s="96">
        <v>630</v>
      </c>
      <c r="U84" s="97">
        <v>0</v>
      </c>
      <c r="V84" s="95">
        <v>1500</v>
      </c>
      <c r="W84" s="96">
        <v>1460</v>
      </c>
      <c r="X84" s="97">
        <v>0</v>
      </c>
      <c r="Y84" s="95">
        <v>1000</v>
      </c>
      <c r="Z84" s="96">
        <v>50</v>
      </c>
      <c r="AA84" s="97">
        <v>0</v>
      </c>
      <c r="AB84" s="95">
        <v>1100</v>
      </c>
      <c r="AC84" s="96">
        <v>70</v>
      </c>
      <c r="AD84" s="97">
        <v>0</v>
      </c>
      <c r="AE84" s="95">
        <v>1000</v>
      </c>
      <c r="AF84" s="96">
        <v>1450</v>
      </c>
      <c r="AG84" s="97">
        <v>0</v>
      </c>
      <c r="AH84" s="231">
        <f>+Janvier!AJ84</f>
        <v>1507.1291208791208</v>
      </c>
      <c r="AI84" s="231">
        <f>+Janvier!AK84</f>
        <v>4688.8461538461534</v>
      </c>
      <c r="AJ84" s="231">
        <f>+Janvier!AL84</f>
        <v>3516.6346153846152</v>
      </c>
      <c r="AK84" s="231">
        <f>+Janvier!AM84</f>
        <v>3516.6346153846152</v>
      </c>
      <c r="AL84" s="231">
        <f>+Janvier!AN84</f>
        <v>2131.2937062937062</v>
      </c>
      <c r="AM84" s="231">
        <f>+Janvier!AO84</f>
        <v>1318.7379807692307</v>
      </c>
      <c r="AN84" s="231">
        <f>+Janvier!AP84</f>
        <v>2637.4759615384614</v>
      </c>
      <c r="AO84" s="231">
        <f>+Janvier!AQ84</f>
        <v>1318.7379807692307</v>
      </c>
      <c r="AP84" s="231">
        <f>+Janvier!AR84</f>
        <v>1318.7379807692307</v>
      </c>
      <c r="AQ84" s="231">
        <f>+Janvier!AS84</f>
        <v>2344.4230769230767</v>
      </c>
      <c r="AR84" s="16">
        <f>ROUND(E84/(AH84/5),0)</f>
        <v>2</v>
      </c>
      <c r="AS84" s="16">
        <f t="shared" si="135"/>
        <v>1</v>
      </c>
      <c r="AT84" s="16">
        <f t="shared" si="136"/>
        <v>1</v>
      </c>
      <c r="AU84" s="16">
        <f t="shared" si="137"/>
        <v>1</v>
      </c>
      <c r="AV84" s="16">
        <f t="shared" si="138"/>
        <v>0</v>
      </c>
      <c r="AW84" s="16">
        <f t="shared" si="139"/>
        <v>2</v>
      </c>
      <c r="AX84" s="16">
        <f t="shared" si="140"/>
        <v>3</v>
      </c>
      <c r="AY84" s="16">
        <f t="shared" si="141"/>
        <v>0</v>
      </c>
      <c r="AZ84" s="16">
        <f t="shared" si="142"/>
        <v>0</v>
      </c>
      <c r="BA84" s="17">
        <f t="shared" si="143"/>
        <v>3</v>
      </c>
    </row>
    <row r="85" spans="1:53" ht="15" thickBot="1" x14ac:dyDescent="0.35">
      <c r="A85" s="121" t="s">
        <v>78</v>
      </c>
      <c r="B85" s="258" t="s">
        <v>148</v>
      </c>
      <c r="C85" s="143">
        <v>44074</v>
      </c>
      <c r="D85" s="111">
        <v>800</v>
      </c>
      <c r="E85" s="109">
        <v>260</v>
      </c>
      <c r="F85" s="110">
        <v>0</v>
      </c>
      <c r="G85" s="111">
        <v>2500</v>
      </c>
      <c r="H85" s="109">
        <v>1120</v>
      </c>
      <c r="I85" s="110">
        <v>0</v>
      </c>
      <c r="J85" s="111">
        <v>2090</v>
      </c>
      <c r="K85" s="109">
        <v>1410</v>
      </c>
      <c r="L85" s="110">
        <v>0</v>
      </c>
      <c r="M85" s="111">
        <v>2200</v>
      </c>
      <c r="N85" s="109">
        <v>1344</v>
      </c>
      <c r="O85" s="110">
        <v>0</v>
      </c>
      <c r="P85" s="111">
        <v>1250</v>
      </c>
      <c r="Q85" s="109">
        <v>719</v>
      </c>
      <c r="R85" s="110">
        <v>0</v>
      </c>
      <c r="S85" s="111">
        <v>600</v>
      </c>
      <c r="T85" s="109">
        <v>470</v>
      </c>
      <c r="U85" s="110">
        <v>0</v>
      </c>
      <c r="V85" s="111">
        <v>1500</v>
      </c>
      <c r="W85" s="109">
        <v>1280</v>
      </c>
      <c r="X85" s="110">
        <v>0</v>
      </c>
      <c r="Y85" s="111">
        <v>800</v>
      </c>
      <c r="Z85" s="109">
        <v>480</v>
      </c>
      <c r="AA85" s="110">
        <v>0</v>
      </c>
      <c r="AB85" s="111">
        <v>800</v>
      </c>
      <c r="AC85" s="109">
        <v>470</v>
      </c>
      <c r="AD85" s="110">
        <v>0</v>
      </c>
      <c r="AE85" s="111">
        <v>1500</v>
      </c>
      <c r="AF85" s="109">
        <v>940</v>
      </c>
      <c r="AG85" s="110">
        <v>0</v>
      </c>
      <c r="AH85" s="231">
        <f>+Janvier!AJ85</f>
        <v>726.18131868131866</v>
      </c>
      <c r="AI85" s="231">
        <f>+Janvier!AK85</f>
        <v>2259.2307692307695</v>
      </c>
      <c r="AJ85" s="231">
        <f>+Janvier!AL85</f>
        <v>1694.4230769230774</v>
      </c>
      <c r="AK85" s="231">
        <f>+Janvier!AM85</f>
        <v>1694.4230769230774</v>
      </c>
      <c r="AL85" s="231">
        <f>+Janvier!AN85</f>
        <v>1026.9230769230771</v>
      </c>
      <c r="AM85" s="231">
        <f>+Janvier!AO85</f>
        <v>635.40865384615381</v>
      </c>
      <c r="AN85" s="231">
        <f>+Janvier!AP85</f>
        <v>1270.8173076923076</v>
      </c>
      <c r="AO85" s="231">
        <f>+Janvier!AQ85</f>
        <v>635.40865384615381</v>
      </c>
      <c r="AP85" s="231">
        <f>+Janvier!AR85</f>
        <v>635.40865384615381</v>
      </c>
      <c r="AQ85" s="231">
        <f>+Janvier!AS85</f>
        <v>1129.6153846153848</v>
      </c>
      <c r="AR85" s="16">
        <f>ROUND(E85/(AH85/5),0)</f>
        <v>2</v>
      </c>
      <c r="AS85" s="16">
        <f t="shared" si="135"/>
        <v>2</v>
      </c>
      <c r="AT85" s="16">
        <f t="shared" si="136"/>
        <v>4</v>
      </c>
      <c r="AU85" s="16">
        <f t="shared" si="137"/>
        <v>4</v>
      </c>
      <c r="AV85" s="16">
        <f t="shared" si="138"/>
        <v>4</v>
      </c>
      <c r="AW85" s="16">
        <f t="shared" si="139"/>
        <v>4</v>
      </c>
      <c r="AX85" s="16">
        <f t="shared" si="140"/>
        <v>5</v>
      </c>
      <c r="AY85" s="16">
        <f t="shared" si="141"/>
        <v>4</v>
      </c>
      <c r="AZ85" s="16">
        <f t="shared" si="142"/>
        <v>4</v>
      </c>
      <c r="BA85" s="17">
        <f t="shared" si="143"/>
        <v>4</v>
      </c>
    </row>
    <row r="86" spans="1:53" x14ac:dyDescent="0.3">
      <c r="B86" s="192"/>
      <c r="C86" s="3"/>
      <c r="D86" s="3"/>
      <c r="E86" s="192"/>
      <c r="F86" s="192"/>
      <c r="G86" s="192"/>
      <c r="H86" s="192"/>
      <c r="I86" s="192"/>
      <c r="J86" s="192"/>
      <c r="K86" s="192"/>
      <c r="L86" s="192"/>
      <c r="M86" s="192"/>
      <c r="N86" s="192"/>
      <c r="O86" s="192"/>
      <c r="P86" s="192"/>
      <c r="Q86" s="192"/>
      <c r="R86" s="192"/>
      <c r="S86" s="192"/>
      <c r="T86" s="192"/>
      <c r="U86" s="192"/>
      <c r="V86" s="192"/>
      <c r="W86" s="192"/>
      <c r="X86" s="192"/>
      <c r="Y86" s="192"/>
      <c r="Z86" s="192"/>
      <c r="AA86" s="192"/>
      <c r="AB86" s="192"/>
      <c r="AC86" s="192"/>
      <c r="AD86" s="192"/>
      <c r="AE86" s="192"/>
      <c r="AF86" s="192"/>
      <c r="AG86" s="192"/>
      <c r="AR86" s="183" t="s">
        <v>2</v>
      </c>
      <c r="AS86" s="183" t="s">
        <v>80</v>
      </c>
      <c r="AT86" s="183" t="s">
        <v>81</v>
      </c>
      <c r="AU86" s="183" t="s">
        <v>5</v>
      </c>
      <c r="AV86" s="183" t="s">
        <v>82</v>
      </c>
      <c r="AW86" s="183" t="s">
        <v>7</v>
      </c>
      <c r="AX86" s="183" t="s">
        <v>8</v>
      </c>
      <c r="AY86" s="183" t="s">
        <v>9</v>
      </c>
      <c r="AZ86" s="183" t="s">
        <v>10</v>
      </c>
      <c r="BA86" s="183" t="s">
        <v>11</v>
      </c>
    </row>
    <row r="87" spans="1:53" x14ac:dyDescent="0.3">
      <c r="B87" s="192"/>
      <c r="C87" s="3"/>
      <c r="D87" s="3"/>
      <c r="E87" s="192"/>
      <c r="F87" s="192"/>
      <c r="G87" s="192"/>
      <c r="H87" s="192"/>
      <c r="I87" s="192"/>
      <c r="J87" s="192"/>
      <c r="K87" s="192"/>
      <c r="L87" s="192"/>
      <c r="M87" s="192"/>
      <c r="N87" s="192"/>
      <c r="O87" s="192"/>
      <c r="P87" s="192"/>
      <c r="Q87" s="192"/>
      <c r="R87" s="192"/>
      <c r="S87" s="192"/>
      <c r="T87" s="192"/>
      <c r="U87" s="192"/>
      <c r="V87" s="192"/>
      <c r="W87" s="192"/>
      <c r="X87" s="192"/>
      <c r="Y87" s="192"/>
      <c r="Z87" s="192"/>
      <c r="AA87" s="192"/>
      <c r="AB87" s="192"/>
      <c r="AC87" s="192"/>
      <c r="AD87" s="192"/>
      <c r="AE87" s="192"/>
      <c r="AF87" s="192"/>
      <c r="AG87" s="192"/>
    </row>
  </sheetData>
  <autoFilter ref="A3:BA86" xr:uid="{061C54B4-9E1A-40A2-9BC6-C97CA7D2823D}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</autoFilter>
  <mergeCells count="16">
    <mergeCell ref="D3:AF3"/>
    <mergeCell ref="AE4:AG4"/>
    <mergeCell ref="A1:AF1"/>
    <mergeCell ref="AH3:AQ3"/>
    <mergeCell ref="AR3:BA3"/>
    <mergeCell ref="A4:A5"/>
    <mergeCell ref="B4:C4"/>
    <mergeCell ref="D4:F4"/>
    <mergeCell ref="G4:I4"/>
    <mergeCell ref="J4:L4"/>
    <mergeCell ref="M4:O4"/>
    <mergeCell ref="P4:R4"/>
    <mergeCell ref="S4:U4"/>
    <mergeCell ref="V4:X4"/>
    <mergeCell ref="Y4:AA4"/>
    <mergeCell ref="AB4:AD4"/>
  </mergeCells>
  <conditionalFormatting sqref="AR6:BA6 AR14:BA14 AR21:BA21 AR30:BA30 AR40:BA40 AR54:BA54 AR68:BA68 AR80:BA80">
    <cfRule type="cellIs" dxfId="63" priority="5" operator="lessThanOrEqual">
      <formula>3</formula>
    </cfRule>
    <cfRule type="cellIs" dxfId="62" priority="6" operator="between">
      <formula>3.01</formula>
      <formula>5</formula>
    </cfRule>
    <cfRule type="cellIs" dxfId="61" priority="7" operator="between">
      <formula>5.01</formula>
      <formula>15</formula>
    </cfRule>
    <cfRule type="cellIs" dxfId="60" priority="8" operator="greaterThan">
      <formula>15</formula>
    </cfRule>
  </conditionalFormatting>
  <conditionalFormatting sqref="AR7:BA13 AR15:BA20 AR22:BA29 AR31:BA39 AR41:BA53 AR55:BA67 AR69:BA79 AR81:BA85">
    <cfRule type="cellIs" dxfId="59" priority="1" operator="lessThanOrEqual">
      <formula>1</formula>
    </cfRule>
    <cfRule type="cellIs" dxfId="58" priority="2" operator="between">
      <formula>1.01</formula>
      <formula>2</formula>
    </cfRule>
    <cfRule type="cellIs" dxfId="57" priority="3" operator="between">
      <formula>2.01</formula>
      <formula>5</formula>
    </cfRule>
    <cfRule type="cellIs" dxfId="56" priority="4" operator="greaterThan">
      <formula>5</formula>
    </cfRule>
  </conditionalFormatting>
  <dataValidations count="1">
    <dataValidation type="decimal" allowBlank="1" showInputMessage="1" showErrorMessage="1" promptTitle="Coverage:" prompt="Indicate the targeted immunization coverage for the current year." sqref="AH5:AQ5" xr:uid="{00000000-0002-0000-0700-000000000000}">
      <formula1>0</formula1>
      <formula2>1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A87"/>
  <sheetViews>
    <sheetView tabSelected="1" zoomScale="70" zoomScaleNormal="7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E4" sqref="D4:AG4"/>
    </sheetView>
  </sheetViews>
  <sheetFormatPr defaultColWidth="11.5546875" defaultRowHeight="14.4" x14ac:dyDescent="0.3"/>
  <cols>
    <col min="1" max="1" width="19.5546875" style="183" bestFit="1" customWidth="1"/>
    <col min="2" max="2" width="13.5546875" style="183" customWidth="1"/>
    <col min="3" max="3" width="16.5546875" style="183" customWidth="1"/>
    <col min="4" max="4" width="11.109375" style="183" customWidth="1"/>
    <col min="5" max="5" width="12.33203125" style="183" customWidth="1"/>
    <col min="6" max="7" width="12.5546875" style="183" customWidth="1"/>
    <col min="8" max="8" width="14.109375" style="183" customWidth="1"/>
    <col min="9" max="9" width="12.5546875" style="183" customWidth="1"/>
    <col min="10" max="10" width="13.88671875" style="183" customWidth="1"/>
    <col min="11" max="11" width="16" style="183" customWidth="1"/>
    <col min="12" max="12" width="9.88671875" style="183" customWidth="1"/>
    <col min="13" max="13" width="11.6640625" style="183" customWidth="1"/>
    <col min="14" max="14" width="8.44140625" style="183" customWidth="1"/>
    <col min="15" max="15" width="11.88671875" style="183" customWidth="1"/>
    <col min="16" max="16" width="10.33203125" style="183" customWidth="1"/>
    <col min="17" max="17" width="8.44140625" style="183" customWidth="1"/>
    <col min="18" max="18" width="13.44140625" style="183" customWidth="1"/>
    <col min="19" max="19" width="10.44140625" style="183" customWidth="1"/>
    <col min="20" max="20" width="7.44140625" style="183" customWidth="1"/>
    <col min="21" max="21" width="13.44140625" style="183" customWidth="1"/>
    <col min="22" max="22" width="9.5546875" style="183" customWidth="1"/>
    <col min="23" max="23" width="8.44140625" style="183" customWidth="1"/>
    <col min="24" max="24" width="12.6640625" style="183" customWidth="1"/>
    <col min="25" max="25" width="9.5546875" style="183" customWidth="1"/>
    <col min="26" max="26" width="9.44140625" style="183" customWidth="1"/>
    <col min="27" max="27" width="10" style="183" customWidth="1"/>
    <col min="28" max="28" width="9.6640625" style="183" customWidth="1"/>
    <col min="29" max="29" width="10.6640625" style="183" customWidth="1"/>
    <col min="30" max="30" width="12.33203125" style="183" customWidth="1"/>
    <col min="31" max="31" width="10" style="183" customWidth="1"/>
    <col min="32" max="32" width="10.33203125" style="183" customWidth="1"/>
    <col min="33" max="33" width="14" style="183" customWidth="1"/>
    <col min="34" max="43" width="11.6640625" style="183" customWidth="1"/>
    <col min="44" max="53" width="15.109375" style="183" customWidth="1"/>
    <col min="54" max="16384" width="11.5546875" style="183"/>
  </cols>
  <sheetData>
    <row r="1" spans="1:53" ht="18" x14ac:dyDescent="0.35">
      <c r="A1" s="414" t="s">
        <v>0</v>
      </c>
      <c r="B1" s="414"/>
      <c r="C1" s="414"/>
      <c r="D1" s="414"/>
      <c r="E1" s="414"/>
      <c r="F1" s="414"/>
      <c r="G1" s="414"/>
      <c r="H1" s="414"/>
      <c r="I1" s="414"/>
      <c r="J1" s="414"/>
      <c r="K1" s="414"/>
      <c r="L1" s="414"/>
      <c r="M1" s="414"/>
      <c r="N1" s="414"/>
      <c r="O1" s="414"/>
      <c r="P1" s="414"/>
      <c r="Q1" s="414"/>
      <c r="R1" s="414"/>
      <c r="S1" s="414"/>
      <c r="T1" s="414"/>
      <c r="U1" s="414"/>
      <c r="V1" s="414"/>
      <c r="W1" s="414"/>
      <c r="X1" s="414"/>
      <c r="Y1" s="414"/>
      <c r="Z1" s="414"/>
      <c r="AA1" s="414"/>
      <c r="AB1" s="414"/>
      <c r="AC1" s="414"/>
      <c r="AD1" s="414"/>
      <c r="AE1" s="414"/>
      <c r="AF1" s="414"/>
      <c r="AG1" s="195"/>
    </row>
    <row r="2" spans="1:53" ht="18" x14ac:dyDescent="0.35">
      <c r="A2" s="195"/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5"/>
      <c r="Y2" s="195"/>
      <c r="Z2" s="195"/>
      <c r="AA2" s="195"/>
      <c r="AB2" s="195"/>
      <c r="AC2" s="195"/>
      <c r="AD2" s="195"/>
      <c r="AE2" s="195"/>
      <c r="AF2" s="9"/>
      <c r="AG2" s="9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0"/>
    </row>
    <row r="3" spans="1:53" ht="16.2" thickBot="1" x14ac:dyDescent="0.35">
      <c r="D3" s="413" t="s">
        <v>98</v>
      </c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  <c r="R3" s="413"/>
      <c r="S3" s="413"/>
      <c r="T3" s="413"/>
      <c r="U3" s="413"/>
      <c r="V3" s="413"/>
      <c r="W3" s="413"/>
      <c r="X3" s="413"/>
      <c r="Y3" s="413"/>
      <c r="Z3" s="413"/>
      <c r="AA3" s="413"/>
      <c r="AB3" s="413"/>
      <c r="AC3" s="413"/>
      <c r="AD3" s="413"/>
      <c r="AE3" s="413"/>
      <c r="AF3" s="413"/>
      <c r="AG3" s="196"/>
      <c r="AH3" s="449" t="s">
        <v>12</v>
      </c>
      <c r="AI3" s="449"/>
      <c r="AJ3" s="449"/>
      <c r="AK3" s="449"/>
      <c r="AL3" s="449"/>
      <c r="AM3" s="449"/>
      <c r="AN3" s="449"/>
      <c r="AO3" s="449"/>
      <c r="AP3" s="449"/>
      <c r="AQ3" s="449"/>
      <c r="AR3" s="417" t="s">
        <v>13</v>
      </c>
      <c r="AS3" s="417"/>
      <c r="AT3" s="417"/>
      <c r="AU3" s="417"/>
      <c r="AV3" s="417"/>
      <c r="AW3" s="417"/>
      <c r="AX3" s="417"/>
      <c r="AY3" s="417"/>
      <c r="AZ3" s="417"/>
      <c r="BA3" s="417"/>
    </row>
    <row r="4" spans="1:53" ht="16.2" thickBot="1" x14ac:dyDescent="0.35">
      <c r="A4" s="450" t="s">
        <v>1</v>
      </c>
      <c r="B4" s="452" t="s">
        <v>92</v>
      </c>
      <c r="C4" s="453"/>
      <c r="D4" s="420" t="s">
        <v>2</v>
      </c>
      <c r="E4" s="420"/>
      <c r="F4" s="421"/>
      <c r="G4" s="422" t="s">
        <v>3</v>
      </c>
      <c r="H4" s="423"/>
      <c r="I4" s="424"/>
      <c r="J4" s="425" t="s">
        <v>4</v>
      </c>
      <c r="K4" s="426"/>
      <c r="L4" s="427"/>
      <c r="M4" s="446" t="s">
        <v>5</v>
      </c>
      <c r="N4" s="447"/>
      <c r="O4" s="448"/>
      <c r="P4" s="428" t="s">
        <v>6</v>
      </c>
      <c r="Q4" s="429"/>
      <c r="R4" s="430"/>
      <c r="S4" s="431" t="s">
        <v>7</v>
      </c>
      <c r="T4" s="432"/>
      <c r="U4" s="433"/>
      <c r="V4" s="434" t="s">
        <v>8</v>
      </c>
      <c r="W4" s="435"/>
      <c r="X4" s="436"/>
      <c r="Y4" s="437" t="s">
        <v>9</v>
      </c>
      <c r="Z4" s="438"/>
      <c r="AA4" s="439"/>
      <c r="AB4" s="440" t="s">
        <v>10</v>
      </c>
      <c r="AC4" s="441"/>
      <c r="AD4" s="442"/>
      <c r="AE4" s="443" t="s">
        <v>11</v>
      </c>
      <c r="AF4" s="444"/>
      <c r="AG4" s="444"/>
      <c r="AH4" s="206" t="s">
        <v>2</v>
      </c>
      <c r="AI4" s="206" t="s">
        <v>3</v>
      </c>
      <c r="AJ4" s="206" t="s">
        <v>4</v>
      </c>
      <c r="AK4" s="206" t="s">
        <v>5</v>
      </c>
      <c r="AL4" s="206" t="s">
        <v>6</v>
      </c>
      <c r="AM4" s="206" t="s">
        <v>7</v>
      </c>
      <c r="AN4" s="206" t="s">
        <v>8</v>
      </c>
      <c r="AO4" s="206" t="s">
        <v>9</v>
      </c>
      <c r="AP4" s="206" t="s">
        <v>10</v>
      </c>
      <c r="AQ4" s="206" t="s">
        <v>11</v>
      </c>
      <c r="AR4" s="186" t="s">
        <v>2</v>
      </c>
      <c r="AS4" s="186" t="s">
        <v>3</v>
      </c>
      <c r="AT4" s="186" t="s">
        <v>4</v>
      </c>
      <c r="AU4" s="186" t="s">
        <v>5</v>
      </c>
      <c r="AV4" s="186" t="s">
        <v>6</v>
      </c>
      <c r="AW4" s="186" t="s">
        <v>7</v>
      </c>
      <c r="AX4" s="186" t="s">
        <v>8</v>
      </c>
      <c r="AY4" s="186" t="s">
        <v>9</v>
      </c>
      <c r="AZ4" s="186" t="s">
        <v>10</v>
      </c>
      <c r="BA4" s="197" t="s">
        <v>11</v>
      </c>
    </row>
    <row r="5" spans="1:53" ht="15.75" customHeight="1" thickBot="1" x14ac:dyDescent="0.35">
      <c r="A5" s="451"/>
      <c r="B5" s="135" t="s">
        <v>93</v>
      </c>
      <c r="C5" s="136" t="s">
        <v>94</v>
      </c>
      <c r="D5" s="187" t="s">
        <v>95</v>
      </c>
      <c r="E5" s="188" t="s">
        <v>96</v>
      </c>
      <c r="F5" s="189" t="s">
        <v>97</v>
      </c>
      <c r="G5" s="190" t="s">
        <v>95</v>
      </c>
      <c r="H5" s="188" t="s">
        <v>96</v>
      </c>
      <c r="I5" s="191" t="s">
        <v>97</v>
      </c>
      <c r="J5" s="137" t="s">
        <v>95</v>
      </c>
      <c r="K5" s="138" t="s">
        <v>96</v>
      </c>
      <c r="L5" s="139" t="s">
        <v>97</v>
      </c>
      <c r="M5" s="187" t="s">
        <v>95</v>
      </c>
      <c r="N5" s="188" t="s">
        <v>96</v>
      </c>
      <c r="O5" s="189" t="s">
        <v>97</v>
      </c>
      <c r="P5" s="190" t="s">
        <v>95</v>
      </c>
      <c r="Q5" s="188" t="s">
        <v>96</v>
      </c>
      <c r="R5" s="189" t="s">
        <v>97</v>
      </c>
      <c r="S5" s="190" t="s">
        <v>95</v>
      </c>
      <c r="T5" s="188" t="s">
        <v>96</v>
      </c>
      <c r="U5" s="189" t="s">
        <v>97</v>
      </c>
      <c r="V5" s="190" t="s">
        <v>95</v>
      </c>
      <c r="W5" s="188" t="s">
        <v>96</v>
      </c>
      <c r="X5" s="189" t="s">
        <v>97</v>
      </c>
      <c r="Y5" s="190" t="s">
        <v>95</v>
      </c>
      <c r="Z5" s="188" t="s">
        <v>96</v>
      </c>
      <c r="AA5" s="189" t="s">
        <v>97</v>
      </c>
      <c r="AB5" s="190" t="s">
        <v>95</v>
      </c>
      <c r="AC5" s="188" t="s">
        <v>96</v>
      </c>
      <c r="AD5" s="189" t="s">
        <v>97</v>
      </c>
      <c r="AE5" s="190" t="s">
        <v>95</v>
      </c>
      <c r="AF5" s="188" t="s">
        <v>96</v>
      </c>
      <c r="AG5" s="191" t="s">
        <v>97</v>
      </c>
      <c r="AH5" s="229">
        <v>0.9</v>
      </c>
      <c r="AI5" s="229">
        <v>0.9</v>
      </c>
      <c r="AJ5" s="229">
        <v>0.9</v>
      </c>
      <c r="AK5" s="229">
        <v>0.9</v>
      </c>
      <c r="AL5" s="229">
        <v>0.9</v>
      </c>
      <c r="AM5" s="229">
        <v>0.9</v>
      </c>
      <c r="AN5" s="229">
        <v>0.9</v>
      </c>
      <c r="AO5" s="229">
        <v>0.9</v>
      </c>
      <c r="AP5" s="229">
        <v>0.9</v>
      </c>
      <c r="AQ5" s="230">
        <v>0.9</v>
      </c>
      <c r="AR5" s="12"/>
      <c r="AS5" s="12"/>
      <c r="AT5" s="12"/>
      <c r="AU5" s="12"/>
      <c r="AV5" s="12"/>
      <c r="AW5" s="12"/>
      <c r="AX5" s="12"/>
      <c r="AY5" s="12"/>
      <c r="AZ5" s="12"/>
      <c r="BA5" s="13"/>
    </row>
    <row r="6" spans="1:53" x14ac:dyDescent="0.3">
      <c r="A6" s="140" t="s">
        <v>87</v>
      </c>
      <c r="B6" s="141">
        <v>44075</v>
      </c>
      <c r="C6" s="232">
        <v>44104</v>
      </c>
      <c r="D6" s="142">
        <v>0</v>
      </c>
      <c r="E6" s="240">
        <v>5780</v>
      </c>
      <c r="F6" s="241">
        <v>0</v>
      </c>
      <c r="G6" s="235">
        <v>0</v>
      </c>
      <c r="H6" s="142">
        <v>11380</v>
      </c>
      <c r="I6" s="142">
        <v>0</v>
      </c>
      <c r="J6" s="142">
        <v>0</v>
      </c>
      <c r="K6" s="142">
        <v>10960</v>
      </c>
      <c r="L6" s="142">
        <v>0</v>
      </c>
      <c r="M6" s="142">
        <v>0</v>
      </c>
      <c r="N6" s="142">
        <v>11232</v>
      </c>
      <c r="O6" s="142">
        <v>0</v>
      </c>
      <c r="P6" s="142">
        <v>0</v>
      </c>
      <c r="Q6" s="142">
        <v>7300</v>
      </c>
      <c r="R6" s="142">
        <v>0</v>
      </c>
      <c r="S6" s="142">
        <v>0</v>
      </c>
      <c r="T6" s="142">
        <v>4075</v>
      </c>
      <c r="U6" s="142">
        <v>0</v>
      </c>
      <c r="V6" s="142">
        <v>0</v>
      </c>
      <c r="W6" s="142">
        <v>11760</v>
      </c>
      <c r="X6" s="142">
        <v>0</v>
      </c>
      <c r="Y6" s="142">
        <v>0</v>
      </c>
      <c r="Z6" s="142">
        <v>5160</v>
      </c>
      <c r="AA6" s="142">
        <v>0</v>
      </c>
      <c r="AB6" s="142">
        <v>0</v>
      </c>
      <c r="AC6" s="142">
        <v>4750</v>
      </c>
      <c r="AD6" s="142">
        <v>0</v>
      </c>
      <c r="AE6" s="142">
        <v>0</v>
      </c>
      <c r="AF6" s="142">
        <v>11240</v>
      </c>
      <c r="AG6" s="222">
        <v>0</v>
      </c>
      <c r="AH6" s="231">
        <f>+Janvier!AJ6</f>
        <v>8562.51</v>
      </c>
      <c r="AI6" s="231">
        <f>+Janvier!AK6</f>
        <v>29828.509615384621</v>
      </c>
      <c r="AJ6" s="231">
        <f>+Janvier!AL6</f>
        <v>19865.787403846156</v>
      </c>
      <c r="AK6" s="231">
        <f>+Janvier!AM6</f>
        <v>19865.787403846156</v>
      </c>
      <c r="AL6" s="231">
        <f>+Janvier!AN6</f>
        <v>12527.97403846154</v>
      </c>
      <c r="AM6" s="231">
        <f>+Janvier!AO6</f>
        <v>7457.1274038461552</v>
      </c>
      <c r="AN6" s="231">
        <f>+Janvier!AP6</f>
        <v>14914.25480769231</v>
      </c>
      <c r="AO6" s="231">
        <f>+Janvier!AQ6</f>
        <v>7457.1274038461552</v>
      </c>
      <c r="AP6" s="231">
        <f>+Janvier!AR6</f>
        <v>7457.1274038461552</v>
      </c>
      <c r="AQ6" s="231">
        <f>+Janvier!AS6</f>
        <v>13292.847692307696</v>
      </c>
      <c r="AR6" s="16">
        <f>ROUND(E6/(AH6/15),0)</f>
        <v>10</v>
      </c>
      <c r="AS6" s="16">
        <f>ROUND(H6/(AI6/15),0)</f>
        <v>6</v>
      </c>
      <c r="AT6" s="16">
        <f>ROUND(K6/(AJ6/15),0)</f>
        <v>8</v>
      </c>
      <c r="AU6" s="16">
        <f>ROUND(N6/(AK6/15),0)</f>
        <v>8</v>
      </c>
      <c r="AV6" s="16">
        <f>ROUND(Q6/(AL6/15),0)</f>
        <v>9</v>
      </c>
      <c r="AW6" s="16">
        <f>ROUND(T6/(AM6/15),0)</f>
        <v>8</v>
      </c>
      <c r="AX6" s="16">
        <f>ROUND(W6/(AN6/15),0)</f>
        <v>12</v>
      </c>
      <c r="AY6" s="16">
        <f>ROUND(Z6/(AO6/15),0)</f>
        <v>10</v>
      </c>
      <c r="AZ6" s="16">
        <f>ROUND(AC6/(AP6/15),0)</f>
        <v>10</v>
      </c>
      <c r="BA6" s="17">
        <f t="shared" ref="BA6" si="0">ROUND(AF6/(AQ6/15),0)</f>
        <v>13</v>
      </c>
    </row>
    <row r="7" spans="1:53" x14ac:dyDescent="0.3">
      <c r="A7" s="184" t="s">
        <v>100</v>
      </c>
      <c r="B7" s="94">
        <v>44075</v>
      </c>
      <c r="C7" s="233">
        <v>44104</v>
      </c>
      <c r="D7" s="107">
        <v>140</v>
      </c>
      <c r="E7" s="106">
        <v>140</v>
      </c>
      <c r="F7" s="117">
        <v>0</v>
      </c>
      <c r="G7" s="236">
        <v>500</v>
      </c>
      <c r="H7" s="96">
        <v>580</v>
      </c>
      <c r="I7" s="105">
        <v>0</v>
      </c>
      <c r="J7" s="95">
        <v>350</v>
      </c>
      <c r="K7" s="96">
        <v>190</v>
      </c>
      <c r="L7" s="97">
        <v>0</v>
      </c>
      <c r="M7" s="95">
        <v>300</v>
      </c>
      <c r="N7" s="96">
        <v>164</v>
      </c>
      <c r="O7" s="97">
        <v>0</v>
      </c>
      <c r="P7" s="95">
        <v>0</v>
      </c>
      <c r="Q7" s="96">
        <v>162</v>
      </c>
      <c r="R7" s="97">
        <v>0</v>
      </c>
      <c r="S7" s="95">
        <v>100</v>
      </c>
      <c r="T7" s="96">
        <v>155</v>
      </c>
      <c r="U7" s="97">
        <v>0</v>
      </c>
      <c r="V7" s="95">
        <v>150</v>
      </c>
      <c r="W7" s="96">
        <v>350</v>
      </c>
      <c r="X7" s="97">
        <v>0</v>
      </c>
      <c r="Y7" s="95">
        <v>100</v>
      </c>
      <c r="Z7" s="96">
        <v>200</v>
      </c>
      <c r="AA7" s="97">
        <v>0</v>
      </c>
      <c r="AB7" s="95">
        <v>100</v>
      </c>
      <c r="AC7" s="96">
        <v>230</v>
      </c>
      <c r="AD7" s="97">
        <v>0</v>
      </c>
      <c r="AE7" s="95">
        <v>250</v>
      </c>
      <c r="AF7" s="96">
        <v>170</v>
      </c>
      <c r="AG7" s="105">
        <v>0</v>
      </c>
      <c r="AH7" s="231">
        <f>+Janvier!AJ7</f>
        <v>205.71428571428572</v>
      </c>
      <c r="AI7" s="231">
        <f>+Janvier!AK7</f>
        <v>640.00000000000011</v>
      </c>
      <c r="AJ7" s="231">
        <f>+Janvier!AL7</f>
        <v>480</v>
      </c>
      <c r="AK7" s="231">
        <f>+Janvier!AM7</f>
        <v>480</v>
      </c>
      <c r="AL7" s="231">
        <f>+Janvier!AN7</f>
        <v>290.90909090909099</v>
      </c>
      <c r="AM7" s="231">
        <f>+Janvier!AO7</f>
        <v>180.00000000000003</v>
      </c>
      <c r="AN7" s="231">
        <f>+Janvier!AP7</f>
        <v>360.00000000000006</v>
      </c>
      <c r="AO7" s="231">
        <f>+Janvier!AQ7</f>
        <v>180.00000000000003</v>
      </c>
      <c r="AP7" s="231">
        <f>+Janvier!AR7</f>
        <v>180.00000000000003</v>
      </c>
      <c r="AQ7" s="231">
        <f>+Janvier!AS7</f>
        <v>320.00000000000006</v>
      </c>
      <c r="AR7" s="19">
        <f t="shared" ref="AR7:AR13" si="1">ROUND(E7/(AH7/5),0)</f>
        <v>3</v>
      </c>
      <c r="AS7" s="19">
        <f>ROUND(H7/(AI7/5),0)</f>
        <v>5</v>
      </c>
      <c r="AT7" s="19">
        <f>ROUND(K7/(AJ7/5),0)</f>
        <v>2</v>
      </c>
      <c r="AU7" s="19">
        <f>ROUND(N7/(AK7/5),0)</f>
        <v>2</v>
      </c>
      <c r="AV7" s="19">
        <f>ROUND(Q7/(AL7/5),0)</f>
        <v>3</v>
      </c>
      <c r="AW7" s="19">
        <f>ROUND(T7/(AM7/5),0)</f>
        <v>4</v>
      </c>
      <c r="AX7" s="19">
        <f>ROUND(W7/(AN7/5),0)</f>
        <v>5</v>
      </c>
      <c r="AY7" s="19">
        <f>ROUND(Z7/(AO7/5),0)</f>
        <v>6</v>
      </c>
      <c r="AZ7" s="19">
        <f>ROUND(AC7/(AP7/5),0)</f>
        <v>6</v>
      </c>
      <c r="BA7" s="20">
        <f t="shared" ref="BA7:BA13" si="2">ROUND(AF7/(AQ7/5),0)</f>
        <v>3</v>
      </c>
    </row>
    <row r="8" spans="1:53" x14ac:dyDescent="0.3">
      <c r="A8" s="184" t="s">
        <v>101</v>
      </c>
      <c r="B8" s="94">
        <v>44075</v>
      </c>
      <c r="C8" s="233">
        <v>44104</v>
      </c>
      <c r="D8" s="107">
        <v>800</v>
      </c>
      <c r="E8" s="96">
        <f>200+820</f>
        <v>1020</v>
      </c>
      <c r="F8" s="97">
        <v>0</v>
      </c>
      <c r="G8" s="237">
        <v>2140</v>
      </c>
      <c r="H8" s="96">
        <f>320+2220</f>
        <v>2540</v>
      </c>
      <c r="I8" s="105">
        <v>0</v>
      </c>
      <c r="J8" s="95">
        <v>1450</v>
      </c>
      <c r="K8" s="96">
        <f>310+1600</f>
        <v>1910</v>
      </c>
      <c r="L8" s="97">
        <v>0</v>
      </c>
      <c r="M8" s="95">
        <v>1492</v>
      </c>
      <c r="N8" s="96">
        <f>336+1560</f>
        <v>1896</v>
      </c>
      <c r="O8" s="97">
        <v>0</v>
      </c>
      <c r="P8" s="95">
        <v>750</v>
      </c>
      <c r="Q8" s="96">
        <v>1250</v>
      </c>
      <c r="R8" s="97">
        <v>2</v>
      </c>
      <c r="S8" s="95">
        <v>465</v>
      </c>
      <c r="T8" s="96">
        <f>45+600</f>
        <v>645</v>
      </c>
      <c r="U8" s="97">
        <v>0</v>
      </c>
      <c r="V8" s="95">
        <v>900</v>
      </c>
      <c r="W8" s="96">
        <f>1030+500</f>
        <v>1530</v>
      </c>
      <c r="X8" s="97">
        <v>0</v>
      </c>
      <c r="Y8" s="95">
        <v>430</v>
      </c>
      <c r="Z8" s="96">
        <f>220+550</f>
        <v>770</v>
      </c>
      <c r="AA8" s="97">
        <v>0</v>
      </c>
      <c r="AB8" s="95">
        <v>500</v>
      </c>
      <c r="AC8" s="96">
        <f>250+500</f>
        <v>750</v>
      </c>
      <c r="AD8" s="97">
        <v>0</v>
      </c>
      <c r="AE8" s="95">
        <v>990</v>
      </c>
      <c r="AF8" s="96">
        <f>650+1000</f>
        <v>1650</v>
      </c>
      <c r="AG8" s="105">
        <v>0</v>
      </c>
      <c r="AH8" s="231">
        <f>+Janvier!AJ8</f>
        <v>676.23626373626382</v>
      </c>
      <c r="AI8" s="231">
        <f>+Janvier!AK8</f>
        <v>2103.8461538461538</v>
      </c>
      <c r="AJ8" s="231">
        <f>+Janvier!AL8</f>
        <v>1577.8846153846155</v>
      </c>
      <c r="AK8" s="231">
        <f>+Janvier!AM8</f>
        <v>1577.8846153846155</v>
      </c>
      <c r="AL8" s="231">
        <f>+Janvier!AN8</f>
        <v>956.29370629370646</v>
      </c>
      <c r="AM8" s="231">
        <f>+Janvier!AO8</f>
        <v>591.70673076923083</v>
      </c>
      <c r="AN8" s="231">
        <f>+Janvier!AP8</f>
        <v>1183.4134615384617</v>
      </c>
      <c r="AO8" s="231">
        <f>+Janvier!AQ8</f>
        <v>591.70673076923083</v>
      </c>
      <c r="AP8" s="231">
        <f>+Janvier!AR8</f>
        <v>591.70673076923083</v>
      </c>
      <c r="AQ8" s="231">
        <f>+Janvier!AS8</f>
        <v>1051.9230769230769</v>
      </c>
      <c r="AR8" s="19">
        <f t="shared" si="1"/>
        <v>8</v>
      </c>
      <c r="AS8" s="19">
        <f t="shared" ref="AS8:AS13" si="3">ROUND(H8/(AI8/5),0)</f>
        <v>6</v>
      </c>
      <c r="AT8" s="19">
        <f t="shared" ref="AT8:AT13" si="4">ROUND(K8/(AJ8/5),0)</f>
        <v>6</v>
      </c>
      <c r="AU8" s="19">
        <f t="shared" ref="AU8:AU13" si="5">ROUND(N8/(AK8/5),0)</f>
        <v>6</v>
      </c>
      <c r="AV8" s="19">
        <f t="shared" ref="AV8:AV13" si="6">ROUND(Q8/(AL8/5),0)</f>
        <v>7</v>
      </c>
      <c r="AW8" s="19">
        <f t="shared" ref="AW8:AW13" si="7">ROUND(T8/(AM8/5),0)</f>
        <v>5</v>
      </c>
      <c r="AX8" s="19">
        <f t="shared" ref="AX8:AX13" si="8">ROUND(W8/(AN8/5),0)</f>
        <v>6</v>
      </c>
      <c r="AY8" s="19">
        <f t="shared" ref="AY8:AY13" si="9">ROUND(Z8/(AO8/5),0)</f>
        <v>7</v>
      </c>
      <c r="AZ8" s="19">
        <f t="shared" ref="AZ8:AZ13" si="10">ROUND(AC8/(AP8/5),0)</f>
        <v>6</v>
      </c>
      <c r="BA8" s="20">
        <f t="shared" si="2"/>
        <v>8</v>
      </c>
    </row>
    <row r="9" spans="1:53" x14ac:dyDescent="0.3">
      <c r="A9" s="184" t="s">
        <v>102</v>
      </c>
      <c r="B9" s="94">
        <v>44075</v>
      </c>
      <c r="C9" s="233">
        <v>44104</v>
      </c>
      <c r="D9" s="107">
        <v>440</v>
      </c>
      <c r="E9" s="96">
        <v>100</v>
      </c>
      <c r="F9" s="97">
        <v>0</v>
      </c>
      <c r="G9" s="237">
        <v>1200</v>
      </c>
      <c r="H9" s="96">
        <v>330</v>
      </c>
      <c r="I9" s="105">
        <v>0</v>
      </c>
      <c r="J9" s="95">
        <v>850</v>
      </c>
      <c r="K9" s="96">
        <v>330</v>
      </c>
      <c r="L9" s="97">
        <v>0</v>
      </c>
      <c r="M9" s="95">
        <v>752</v>
      </c>
      <c r="N9" s="96">
        <v>360</v>
      </c>
      <c r="O9" s="97">
        <v>0</v>
      </c>
      <c r="P9" s="95">
        <v>604</v>
      </c>
      <c r="Q9" s="96">
        <v>164</v>
      </c>
      <c r="R9" s="97">
        <v>0</v>
      </c>
      <c r="S9" s="95">
        <v>270</v>
      </c>
      <c r="T9" s="96">
        <v>100</v>
      </c>
      <c r="U9" s="97">
        <v>0</v>
      </c>
      <c r="V9" s="95">
        <v>260</v>
      </c>
      <c r="W9" s="96">
        <v>510</v>
      </c>
      <c r="X9" s="97">
        <v>0</v>
      </c>
      <c r="Y9" s="95">
        <v>340</v>
      </c>
      <c r="Z9" s="96">
        <v>200</v>
      </c>
      <c r="AA9" s="97">
        <v>0</v>
      </c>
      <c r="AB9" s="95">
        <v>340</v>
      </c>
      <c r="AC9" s="96">
        <v>200</v>
      </c>
      <c r="AD9" s="97">
        <v>0</v>
      </c>
      <c r="AE9" s="95">
        <v>460</v>
      </c>
      <c r="AF9" s="96">
        <v>570</v>
      </c>
      <c r="AG9" s="105">
        <v>0</v>
      </c>
      <c r="AH9" s="231">
        <f>+Janvier!AJ9</f>
        <v>611.82692307692309</v>
      </c>
      <c r="AI9" s="231">
        <f>+Janvier!AK9</f>
        <v>1903.4615384615386</v>
      </c>
      <c r="AJ9" s="231">
        <f>+Janvier!AL9</f>
        <v>1427.5961538461543</v>
      </c>
      <c r="AK9" s="231">
        <f>+Janvier!AM9</f>
        <v>1427.5961538461543</v>
      </c>
      <c r="AL9" s="231">
        <f>+Janvier!AN9</f>
        <v>865.20979020979041</v>
      </c>
      <c r="AM9" s="231">
        <f>+Janvier!AO9</f>
        <v>535.34855769230762</v>
      </c>
      <c r="AN9" s="231">
        <f>+Janvier!AP9</f>
        <v>1070.6971153846152</v>
      </c>
      <c r="AO9" s="231">
        <f>+Janvier!AQ9</f>
        <v>535.34855769230762</v>
      </c>
      <c r="AP9" s="231">
        <f>+Janvier!AR9</f>
        <v>535.34855769230762</v>
      </c>
      <c r="AQ9" s="231">
        <f>+Janvier!AS9</f>
        <v>951.73076923076928</v>
      </c>
      <c r="AR9" s="19">
        <f t="shared" si="1"/>
        <v>1</v>
      </c>
      <c r="AS9" s="19">
        <f t="shared" si="3"/>
        <v>1</v>
      </c>
      <c r="AT9" s="19">
        <f t="shared" si="4"/>
        <v>1</v>
      </c>
      <c r="AU9" s="19">
        <f t="shared" si="5"/>
        <v>1</v>
      </c>
      <c r="AV9" s="19">
        <f t="shared" si="6"/>
        <v>1</v>
      </c>
      <c r="AW9" s="19">
        <f t="shared" si="7"/>
        <v>1</v>
      </c>
      <c r="AX9" s="19">
        <f t="shared" si="8"/>
        <v>2</v>
      </c>
      <c r="AY9" s="19">
        <f t="shared" si="9"/>
        <v>2</v>
      </c>
      <c r="AZ9" s="19">
        <f t="shared" si="10"/>
        <v>2</v>
      </c>
      <c r="BA9" s="20">
        <f t="shared" si="2"/>
        <v>3</v>
      </c>
    </row>
    <row r="10" spans="1:53" x14ac:dyDescent="0.3">
      <c r="A10" s="184" t="s">
        <v>34</v>
      </c>
      <c r="B10" s="94">
        <v>44075</v>
      </c>
      <c r="C10" s="233">
        <v>44104</v>
      </c>
      <c r="D10" s="107">
        <v>120</v>
      </c>
      <c r="E10" s="96">
        <v>20</v>
      </c>
      <c r="F10" s="97">
        <v>0</v>
      </c>
      <c r="G10" s="237">
        <v>300</v>
      </c>
      <c r="H10" s="96">
        <v>80</v>
      </c>
      <c r="I10" s="105">
        <v>0</v>
      </c>
      <c r="J10" s="95">
        <v>240</v>
      </c>
      <c r="K10" s="96">
        <v>50</v>
      </c>
      <c r="L10" s="97">
        <v>0</v>
      </c>
      <c r="M10" s="95">
        <v>252</v>
      </c>
      <c r="N10" s="96">
        <v>64</v>
      </c>
      <c r="O10" s="97">
        <v>0</v>
      </c>
      <c r="P10" s="95">
        <v>200</v>
      </c>
      <c r="Q10" s="96">
        <v>45</v>
      </c>
      <c r="R10" s="97">
        <v>0</v>
      </c>
      <c r="S10" s="95">
        <v>0</v>
      </c>
      <c r="T10" s="96">
        <v>100</v>
      </c>
      <c r="U10" s="97">
        <v>0</v>
      </c>
      <c r="V10" s="95">
        <v>0</v>
      </c>
      <c r="W10" s="96">
        <v>160</v>
      </c>
      <c r="X10" s="97">
        <v>0</v>
      </c>
      <c r="Y10" s="95">
        <v>100</v>
      </c>
      <c r="Z10" s="96">
        <v>60</v>
      </c>
      <c r="AA10" s="97">
        <v>0</v>
      </c>
      <c r="AB10" s="95">
        <v>100</v>
      </c>
      <c r="AC10" s="96">
        <v>250</v>
      </c>
      <c r="AD10" s="97">
        <v>0</v>
      </c>
      <c r="AE10" s="95">
        <v>130</v>
      </c>
      <c r="AF10" s="96">
        <v>120</v>
      </c>
      <c r="AG10" s="105">
        <v>0</v>
      </c>
      <c r="AH10" s="231">
        <f>+Janvier!AJ10</f>
        <v>104.46428571428572</v>
      </c>
      <c r="AI10" s="231">
        <f>+Janvier!AK10</f>
        <v>325</v>
      </c>
      <c r="AJ10" s="231">
        <f>+Janvier!AL10</f>
        <v>243.75</v>
      </c>
      <c r="AK10" s="231">
        <f>+Janvier!AM10</f>
        <v>243.75</v>
      </c>
      <c r="AL10" s="231">
        <f>+Janvier!AN10</f>
        <v>147.72727272727275</v>
      </c>
      <c r="AM10" s="231">
        <f>+Janvier!AO10</f>
        <v>91.40625</v>
      </c>
      <c r="AN10" s="231">
        <f>+Janvier!AP10</f>
        <v>182.8125</v>
      </c>
      <c r="AO10" s="231">
        <f>+Janvier!AQ10</f>
        <v>91.40625</v>
      </c>
      <c r="AP10" s="231">
        <f>+Janvier!AR10</f>
        <v>91.40625</v>
      </c>
      <c r="AQ10" s="231">
        <f>+Janvier!AS10</f>
        <v>162.5</v>
      </c>
      <c r="AR10" s="19">
        <f t="shared" si="1"/>
        <v>1</v>
      </c>
      <c r="AS10" s="19">
        <f t="shared" si="3"/>
        <v>1</v>
      </c>
      <c r="AT10" s="19">
        <f t="shared" si="4"/>
        <v>1</v>
      </c>
      <c r="AU10" s="19">
        <f t="shared" si="5"/>
        <v>1</v>
      </c>
      <c r="AV10" s="19">
        <f t="shared" si="6"/>
        <v>2</v>
      </c>
      <c r="AW10" s="19">
        <f t="shared" si="7"/>
        <v>5</v>
      </c>
      <c r="AX10" s="19">
        <f t="shared" si="8"/>
        <v>4</v>
      </c>
      <c r="AY10" s="19">
        <f t="shared" si="9"/>
        <v>3</v>
      </c>
      <c r="AZ10" s="19">
        <f t="shared" si="10"/>
        <v>14</v>
      </c>
      <c r="BA10" s="20">
        <f t="shared" si="2"/>
        <v>4</v>
      </c>
    </row>
    <row r="11" spans="1:53" x14ac:dyDescent="0.3">
      <c r="A11" s="184" t="s">
        <v>103</v>
      </c>
      <c r="B11" s="94">
        <v>44075</v>
      </c>
      <c r="C11" s="233">
        <v>44104</v>
      </c>
      <c r="D11" s="107">
        <v>280</v>
      </c>
      <c r="E11" s="96">
        <v>280</v>
      </c>
      <c r="F11" s="97">
        <v>0</v>
      </c>
      <c r="G11" s="237">
        <v>700</v>
      </c>
      <c r="H11" s="96">
        <v>780</v>
      </c>
      <c r="I11" s="105">
        <v>0</v>
      </c>
      <c r="J11" s="95">
        <v>400</v>
      </c>
      <c r="K11" s="96">
        <v>580</v>
      </c>
      <c r="L11" s="97">
        <v>0</v>
      </c>
      <c r="M11" s="95">
        <v>464</v>
      </c>
      <c r="N11" s="96">
        <v>588</v>
      </c>
      <c r="O11" s="97">
        <v>0</v>
      </c>
      <c r="P11" s="95">
        <v>350</v>
      </c>
      <c r="Q11" s="96">
        <v>400</v>
      </c>
      <c r="R11" s="97">
        <v>0</v>
      </c>
      <c r="S11" s="95">
        <v>160</v>
      </c>
      <c r="T11" s="96">
        <v>195</v>
      </c>
      <c r="U11" s="97">
        <v>0</v>
      </c>
      <c r="V11" s="95">
        <v>210</v>
      </c>
      <c r="W11" s="96">
        <v>470</v>
      </c>
      <c r="X11" s="97">
        <v>0</v>
      </c>
      <c r="Y11" s="95">
        <v>170</v>
      </c>
      <c r="Z11" s="96">
        <v>240</v>
      </c>
      <c r="AA11" s="97">
        <v>0</v>
      </c>
      <c r="AB11" s="95">
        <v>170</v>
      </c>
      <c r="AC11" s="96">
        <v>240</v>
      </c>
      <c r="AD11" s="97">
        <v>0</v>
      </c>
      <c r="AE11" s="95">
        <v>300</v>
      </c>
      <c r="AF11" s="96">
        <v>520</v>
      </c>
      <c r="AG11" s="105">
        <v>0</v>
      </c>
      <c r="AH11" s="231">
        <f>+Janvier!AJ11</f>
        <v>190.75549450549454</v>
      </c>
      <c r="AI11" s="231">
        <f>+Janvier!AK11</f>
        <v>593.46153846153857</v>
      </c>
      <c r="AJ11" s="231">
        <f>+Janvier!AL11</f>
        <v>445.09615384615392</v>
      </c>
      <c r="AK11" s="231">
        <f>+Janvier!AM11</f>
        <v>445.09615384615392</v>
      </c>
      <c r="AL11" s="231">
        <f>+Janvier!AN11</f>
        <v>269.7552447552448</v>
      </c>
      <c r="AM11" s="231">
        <f>+Janvier!AO11</f>
        <v>166.91105769230771</v>
      </c>
      <c r="AN11" s="231">
        <f>+Janvier!AP11</f>
        <v>333.82211538461542</v>
      </c>
      <c r="AO11" s="231">
        <f>+Janvier!AQ11</f>
        <v>166.91105769230771</v>
      </c>
      <c r="AP11" s="231">
        <f>+Janvier!AR11</f>
        <v>166.91105769230771</v>
      </c>
      <c r="AQ11" s="231">
        <f>+Janvier!AS11</f>
        <v>296.73076923076928</v>
      </c>
      <c r="AR11" s="19">
        <f t="shared" si="1"/>
        <v>7</v>
      </c>
      <c r="AS11" s="19">
        <f t="shared" si="3"/>
        <v>7</v>
      </c>
      <c r="AT11" s="19">
        <f t="shared" si="4"/>
        <v>7</v>
      </c>
      <c r="AU11" s="19">
        <f t="shared" si="5"/>
        <v>7</v>
      </c>
      <c r="AV11" s="19">
        <f t="shared" si="6"/>
        <v>7</v>
      </c>
      <c r="AW11" s="19">
        <f t="shared" si="7"/>
        <v>6</v>
      </c>
      <c r="AX11" s="19">
        <f t="shared" si="8"/>
        <v>7</v>
      </c>
      <c r="AY11" s="19">
        <f t="shared" si="9"/>
        <v>7</v>
      </c>
      <c r="AZ11" s="19">
        <f t="shared" si="10"/>
        <v>7</v>
      </c>
      <c r="BA11" s="20">
        <f t="shared" si="2"/>
        <v>9</v>
      </c>
    </row>
    <row r="12" spans="1:53" x14ac:dyDescent="0.3">
      <c r="A12" s="184" t="s">
        <v>104</v>
      </c>
      <c r="B12" s="94">
        <v>44075</v>
      </c>
      <c r="C12" s="233">
        <v>44104</v>
      </c>
      <c r="D12" s="107">
        <v>340</v>
      </c>
      <c r="E12" s="106">
        <v>300</v>
      </c>
      <c r="F12" s="117">
        <v>0</v>
      </c>
      <c r="G12" s="236">
        <v>1000</v>
      </c>
      <c r="H12" s="96">
        <v>900</v>
      </c>
      <c r="I12" s="105">
        <v>0</v>
      </c>
      <c r="J12" s="95">
        <v>500</v>
      </c>
      <c r="K12" s="96">
        <v>390</v>
      </c>
      <c r="L12" s="97">
        <v>0</v>
      </c>
      <c r="M12" s="95">
        <v>532</v>
      </c>
      <c r="N12" s="96">
        <v>240</v>
      </c>
      <c r="O12" s="97">
        <v>0</v>
      </c>
      <c r="P12" s="95">
        <v>300</v>
      </c>
      <c r="Q12" s="96">
        <v>214</v>
      </c>
      <c r="R12" s="97">
        <v>0</v>
      </c>
      <c r="S12" s="95">
        <v>135</v>
      </c>
      <c r="T12" s="96">
        <v>170</v>
      </c>
      <c r="U12" s="97">
        <v>0</v>
      </c>
      <c r="V12" s="95">
        <v>300</v>
      </c>
      <c r="W12" s="96">
        <v>230</v>
      </c>
      <c r="X12" s="97">
        <v>0</v>
      </c>
      <c r="Y12" s="95">
        <v>200</v>
      </c>
      <c r="Z12" s="96">
        <v>170</v>
      </c>
      <c r="AA12" s="97">
        <v>0</v>
      </c>
      <c r="AB12" s="95">
        <v>240</v>
      </c>
      <c r="AC12" s="96">
        <v>110</v>
      </c>
      <c r="AD12" s="97">
        <v>0</v>
      </c>
      <c r="AE12" s="95">
        <v>300</v>
      </c>
      <c r="AF12" s="96">
        <v>500</v>
      </c>
      <c r="AG12" s="105">
        <v>0</v>
      </c>
      <c r="AH12" s="231">
        <f>+Janvier!AJ12</f>
        <v>302.3901098901099</v>
      </c>
      <c r="AI12" s="231">
        <f>+Janvier!AK12</f>
        <v>940.76923076923083</v>
      </c>
      <c r="AJ12" s="231">
        <f>+Janvier!AL12</f>
        <v>705.57692307692321</v>
      </c>
      <c r="AK12" s="231">
        <f>+Janvier!AM12</f>
        <v>705.57692307692321</v>
      </c>
      <c r="AL12" s="231">
        <f>+Janvier!AN12</f>
        <v>427.62237762237766</v>
      </c>
      <c r="AM12" s="231">
        <f>+Janvier!AO12</f>
        <v>264.59134615384619</v>
      </c>
      <c r="AN12" s="231">
        <f>+Janvier!AP12</f>
        <v>529.18269230769238</v>
      </c>
      <c r="AO12" s="231">
        <f>+Janvier!AQ12</f>
        <v>264.59134615384619</v>
      </c>
      <c r="AP12" s="231">
        <f>+Janvier!AR12</f>
        <v>264.59134615384619</v>
      </c>
      <c r="AQ12" s="231">
        <f>+Janvier!AS12</f>
        <v>470.38461538461542</v>
      </c>
      <c r="AR12" s="19">
        <f t="shared" si="1"/>
        <v>5</v>
      </c>
      <c r="AS12" s="19">
        <f t="shared" si="3"/>
        <v>5</v>
      </c>
      <c r="AT12" s="19">
        <f t="shared" si="4"/>
        <v>3</v>
      </c>
      <c r="AU12" s="19">
        <f t="shared" si="5"/>
        <v>2</v>
      </c>
      <c r="AV12" s="19">
        <f t="shared" si="6"/>
        <v>3</v>
      </c>
      <c r="AW12" s="19">
        <f t="shared" si="7"/>
        <v>3</v>
      </c>
      <c r="AX12" s="19">
        <f t="shared" si="8"/>
        <v>2</v>
      </c>
      <c r="AY12" s="19">
        <f t="shared" si="9"/>
        <v>3</v>
      </c>
      <c r="AZ12" s="19">
        <f t="shared" si="10"/>
        <v>2</v>
      </c>
      <c r="BA12" s="20">
        <f t="shared" si="2"/>
        <v>5</v>
      </c>
    </row>
    <row r="13" spans="1:53" ht="15" thickBot="1" x14ac:dyDescent="0.35">
      <c r="A13" s="121" t="s">
        <v>105</v>
      </c>
      <c r="B13" s="143">
        <v>44075</v>
      </c>
      <c r="C13" s="234">
        <v>44104</v>
      </c>
      <c r="D13" s="249">
        <v>400</v>
      </c>
      <c r="E13" s="250">
        <f>220+640</f>
        <v>860</v>
      </c>
      <c r="F13" s="251">
        <v>0</v>
      </c>
      <c r="G13" s="238">
        <v>1100</v>
      </c>
      <c r="H13" s="109">
        <f>780+1100</f>
        <v>1880</v>
      </c>
      <c r="I13" s="112">
        <v>0</v>
      </c>
      <c r="J13" s="111">
        <v>800</v>
      </c>
      <c r="K13" s="109">
        <f>570+900</f>
        <v>1470</v>
      </c>
      <c r="L13" s="110">
        <v>0</v>
      </c>
      <c r="M13" s="111">
        <v>748</v>
      </c>
      <c r="N13" s="109">
        <f>220+756</f>
        <v>976</v>
      </c>
      <c r="O13" s="110">
        <v>0</v>
      </c>
      <c r="P13" s="111">
        <v>600</v>
      </c>
      <c r="Q13" s="109">
        <f>352+550</f>
        <v>902</v>
      </c>
      <c r="R13" s="110">
        <v>0</v>
      </c>
      <c r="S13" s="111">
        <v>350</v>
      </c>
      <c r="T13" s="109">
        <f>210+230</f>
        <v>440</v>
      </c>
      <c r="U13" s="110">
        <v>0</v>
      </c>
      <c r="V13" s="111">
        <v>370</v>
      </c>
      <c r="W13" s="109">
        <f>680+200</f>
        <v>880</v>
      </c>
      <c r="X13" s="110">
        <v>0</v>
      </c>
      <c r="Y13" s="111">
        <v>350</v>
      </c>
      <c r="Z13" s="109">
        <f>210+300</f>
        <v>510</v>
      </c>
      <c r="AA13" s="110">
        <v>0</v>
      </c>
      <c r="AB13" s="111">
        <v>250</v>
      </c>
      <c r="AC13" s="109">
        <f>280+300</f>
        <v>580</v>
      </c>
      <c r="AD13" s="110">
        <v>0</v>
      </c>
      <c r="AE13" s="111">
        <v>550</v>
      </c>
      <c r="AF13" s="109">
        <f>940+420</f>
        <v>1360</v>
      </c>
      <c r="AG13" s="112">
        <v>0</v>
      </c>
      <c r="AH13" s="231">
        <f>+Janvier!AJ13</f>
        <v>749.42307692307691</v>
      </c>
      <c r="AI13" s="231">
        <f>+Janvier!AK13</f>
        <v>2331.5384615384619</v>
      </c>
      <c r="AJ13" s="231">
        <f>+Janvier!AL13</f>
        <v>1748.6538461538464</v>
      </c>
      <c r="AK13" s="231">
        <f>+Janvier!AM13</f>
        <v>1748.6538461538464</v>
      </c>
      <c r="AL13" s="231">
        <f>+Janvier!AN13</f>
        <v>1059.7902097902099</v>
      </c>
      <c r="AM13" s="231">
        <f>+Janvier!AO13</f>
        <v>655.74519230769226</v>
      </c>
      <c r="AN13" s="231">
        <f>+Janvier!AP13</f>
        <v>1311.4903846153845</v>
      </c>
      <c r="AO13" s="231">
        <f>+Janvier!AQ13</f>
        <v>655.74519230769226</v>
      </c>
      <c r="AP13" s="231">
        <f>+Janvier!AR13</f>
        <v>655.74519230769226</v>
      </c>
      <c r="AQ13" s="231">
        <f>+Janvier!AS13</f>
        <v>1165.7692307692309</v>
      </c>
      <c r="AR13" s="29">
        <f t="shared" si="1"/>
        <v>6</v>
      </c>
      <c r="AS13" s="29">
        <f t="shared" si="3"/>
        <v>4</v>
      </c>
      <c r="AT13" s="29">
        <f t="shared" si="4"/>
        <v>4</v>
      </c>
      <c r="AU13" s="29">
        <f t="shared" si="5"/>
        <v>3</v>
      </c>
      <c r="AV13" s="29">
        <f t="shared" si="6"/>
        <v>4</v>
      </c>
      <c r="AW13" s="29">
        <f t="shared" si="7"/>
        <v>3</v>
      </c>
      <c r="AX13" s="29">
        <f t="shared" si="8"/>
        <v>3</v>
      </c>
      <c r="AY13" s="29">
        <f t="shared" si="9"/>
        <v>4</v>
      </c>
      <c r="AZ13" s="29">
        <f t="shared" si="10"/>
        <v>4</v>
      </c>
      <c r="BA13" s="30">
        <f t="shared" si="2"/>
        <v>6</v>
      </c>
    </row>
    <row r="14" spans="1:53" x14ac:dyDescent="0.3">
      <c r="A14" s="140" t="s">
        <v>85</v>
      </c>
      <c r="B14" s="152">
        <v>44079</v>
      </c>
      <c r="C14" s="242">
        <v>44104</v>
      </c>
      <c r="D14" s="155">
        <v>0</v>
      </c>
      <c r="E14" s="154">
        <v>7120</v>
      </c>
      <c r="F14" s="165">
        <v>0</v>
      </c>
      <c r="G14" s="245">
        <v>22000</v>
      </c>
      <c r="H14" s="167">
        <v>20360</v>
      </c>
      <c r="I14" s="168">
        <v>0</v>
      </c>
      <c r="J14" s="155">
        <v>0</v>
      </c>
      <c r="K14" s="154">
        <v>7720</v>
      </c>
      <c r="L14" s="153">
        <v>0</v>
      </c>
      <c r="M14" s="155">
        <v>0</v>
      </c>
      <c r="N14" s="154">
        <v>18148</v>
      </c>
      <c r="O14" s="153">
        <v>0</v>
      </c>
      <c r="P14" s="155">
        <v>0</v>
      </c>
      <c r="Q14" s="154">
        <v>10683</v>
      </c>
      <c r="R14" s="153">
        <v>0</v>
      </c>
      <c r="S14" s="155">
        <v>0</v>
      </c>
      <c r="T14" s="154">
        <v>6110</v>
      </c>
      <c r="U14" s="153">
        <v>0</v>
      </c>
      <c r="V14" s="155">
        <v>0</v>
      </c>
      <c r="W14" s="154">
        <v>10650</v>
      </c>
      <c r="X14" s="153">
        <v>0</v>
      </c>
      <c r="Y14" s="155">
        <v>0</v>
      </c>
      <c r="Z14" s="154">
        <v>6670</v>
      </c>
      <c r="AA14" s="153">
        <v>0</v>
      </c>
      <c r="AB14" s="155">
        <v>0</v>
      </c>
      <c r="AC14" s="154">
        <v>6270</v>
      </c>
      <c r="AD14" s="153">
        <v>0</v>
      </c>
      <c r="AE14" s="155">
        <v>0</v>
      </c>
      <c r="AF14" s="154">
        <v>12270</v>
      </c>
      <c r="AG14" s="223">
        <v>0</v>
      </c>
      <c r="AH14" s="231">
        <f>+Janvier!AJ14</f>
        <v>10845.32625</v>
      </c>
      <c r="AI14" s="231">
        <f>+Janvier!AK14</f>
        <v>37883.076923076922</v>
      </c>
      <c r="AJ14" s="231">
        <f>+Janvier!AL14</f>
        <v>25230.129230769231</v>
      </c>
      <c r="AK14" s="231">
        <f>+Janvier!AM14</f>
        <v>25230.129230769231</v>
      </c>
      <c r="AL14" s="231">
        <f>+Janvier!AN14</f>
        <v>15910.892307692309</v>
      </c>
      <c r="AM14" s="231">
        <f>+Janvier!AO14</f>
        <v>9470.7692307692305</v>
      </c>
      <c r="AN14" s="231">
        <f>+Janvier!AP14</f>
        <v>18941.538461538461</v>
      </c>
      <c r="AO14" s="231">
        <f>+Janvier!AQ14</f>
        <v>9470.7692307692305</v>
      </c>
      <c r="AP14" s="231">
        <f>+Janvier!AR14</f>
        <v>9470.7692307692305</v>
      </c>
      <c r="AQ14" s="231">
        <f>+Janvier!AS14</f>
        <v>16836.800192307695</v>
      </c>
      <c r="AR14" s="16">
        <f>ROUND(E14/(AH14/15),0)</f>
        <v>10</v>
      </c>
      <c r="AS14" s="16">
        <f t="shared" ref="AS14" si="11">ROUND(H14/(AI14/15),0)</f>
        <v>8</v>
      </c>
      <c r="AT14" s="16">
        <f t="shared" ref="AT14" si="12">ROUND(K14/(AJ14/15),0)</f>
        <v>5</v>
      </c>
      <c r="AU14" s="16">
        <f t="shared" ref="AU14" si="13">ROUND(N14/(AK14/15),0)</f>
        <v>11</v>
      </c>
      <c r="AV14" s="16">
        <f t="shared" ref="AV14" si="14">ROUND(Q14/(AL14/15),0)</f>
        <v>10</v>
      </c>
      <c r="AW14" s="16">
        <f t="shared" ref="AW14" si="15">ROUND(T14/(AM14/15),0)</f>
        <v>10</v>
      </c>
      <c r="AX14" s="16">
        <f t="shared" ref="AX14" si="16">ROUND(W14/(AN14/15),0)</f>
        <v>8</v>
      </c>
      <c r="AY14" s="16">
        <f t="shared" ref="AY14" si="17">ROUND(Z14/(AO14/15),0)</f>
        <v>11</v>
      </c>
      <c r="AZ14" s="16">
        <f t="shared" ref="AZ14" si="18">ROUND(AC14/(AP14/15),0)</f>
        <v>10</v>
      </c>
      <c r="BA14" s="17">
        <f t="shared" ref="BA14" si="19">ROUND(AF14/(AQ14/15),0)</f>
        <v>11</v>
      </c>
    </row>
    <row r="15" spans="1:53" x14ac:dyDescent="0.3">
      <c r="A15" s="184" t="s">
        <v>57</v>
      </c>
      <c r="B15" s="127">
        <v>44079</v>
      </c>
      <c r="C15" s="243">
        <v>44104</v>
      </c>
      <c r="D15" s="130">
        <v>380</v>
      </c>
      <c r="E15" s="129">
        <v>140</v>
      </c>
      <c r="F15" s="169">
        <v>0</v>
      </c>
      <c r="G15" s="246">
        <v>1420</v>
      </c>
      <c r="H15" s="171">
        <v>560</v>
      </c>
      <c r="I15" s="172">
        <v>0</v>
      </c>
      <c r="J15" s="130">
        <v>1160</v>
      </c>
      <c r="K15" s="129">
        <v>280</v>
      </c>
      <c r="L15" s="128">
        <v>0</v>
      </c>
      <c r="M15" s="130">
        <v>1200</v>
      </c>
      <c r="N15" s="129">
        <v>300</v>
      </c>
      <c r="O15" s="128">
        <v>0</v>
      </c>
      <c r="P15" s="130">
        <v>650</v>
      </c>
      <c r="Q15" s="129">
        <v>150</v>
      </c>
      <c r="R15" s="128">
        <v>0</v>
      </c>
      <c r="S15" s="130">
        <v>350</v>
      </c>
      <c r="T15" s="129">
        <v>130</v>
      </c>
      <c r="U15" s="128">
        <v>0</v>
      </c>
      <c r="V15" s="130">
        <v>310</v>
      </c>
      <c r="W15" s="129">
        <v>260</v>
      </c>
      <c r="X15" s="128">
        <v>0</v>
      </c>
      <c r="Y15" s="130">
        <v>450</v>
      </c>
      <c r="Z15" s="129">
        <v>170</v>
      </c>
      <c r="AA15" s="128">
        <v>0</v>
      </c>
      <c r="AB15" s="130">
        <v>310</v>
      </c>
      <c r="AC15" s="129">
        <v>90</v>
      </c>
      <c r="AD15" s="128">
        <v>0</v>
      </c>
      <c r="AE15" s="130">
        <v>600</v>
      </c>
      <c r="AF15" s="129">
        <v>130</v>
      </c>
      <c r="AG15" s="224">
        <v>0</v>
      </c>
      <c r="AH15" s="231">
        <f>+Janvier!AJ15</f>
        <v>567.93956043956052</v>
      </c>
      <c r="AI15" s="231">
        <f>+Janvier!AK15</f>
        <v>1766.9230769230774</v>
      </c>
      <c r="AJ15" s="231">
        <f>+Janvier!AL15</f>
        <v>1325.1923076923076</v>
      </c>
      <c r="AK15" s="231">
        <f>+Janvier!AM15</f>
        <v>1325.1923076923076</v>
      </c>
      <c r="AL15" s="231">
        <f>+Janvier!AN15</f>
        <v>803.14685314685323</v>
      </c>
      <c r="AM15" s="231">
        <f>+Janvier!AO15</f>
        <v>496.94711538461542</v>
      </c>
      <c r="AN15" s="231">
        <f>+Janvier!AP15</f>
        <v>993.89423076923083</v>
      </c>
      <c r="AO15" s="231">
        <f>+Janvier!AQ15</f>
        <v>496.94711538461542</v>
      </c>
      <c r="AP15" s="231">
        <f>+Janvier!AR15</f>
        <v>496.94711538461542</v>
      </c>
      <c r="AQ15" s="231">
        <f>+Janvier!AS15</f>
        <v>883.46153846153868</v>
      </c>
      <c r="AR15" s="16">
        <f t="shared" ref="AR15:AR20" si="20">ROUND(E15/(AH15/5),0)</f>
        <v>1</v>
      </c>
      <c r="AS15" s="16">
        <f t="shared" ref="AS15:AS20" si="21">ROUND(H15/(AI15/5),0)</f>
        <v>2</v>
      </c>
      <c r="AT15" s="16">
        <f t="shared" ref="AT15:AT20" si="22">ROUND(K15/(AJ15/5),0)</f>
        <v>1</v>
      </c>
      <c r="AU15" s="16">
        <f t="shared" ref="AU15:AU20" si="23">ROUND(N15/(AK15/5),0)</f>
        <v>1</v>
      </c>
      <c r="AV15" s="16">
        <f t="shared" ref="AV15:AV20" si="24">ROUND(Q15/(AL15/5),0)</f>
        <v>1</v>
      </c>
      <c r="AW15" s="16">
        <f t="shared" ref="AW15:AW20" si="25">ROUND(T15/(AM15/5),0)</f>
        <v>1</v>
      </c>
      <c r="AX15" s="16">
        <f t="shared" ref="AX15:AX20" si="26">ROUND(W15/(AN15/5),0)</f>
        <v>1</v>
      </c>
      <c r="AY15" s="16">
        <f t="shared" ref="AY15:AY20" si="27">ROUND(Z15/(AO15/5),0)</f>
        <v>2</v>
      </c>
      <c r="AZ15" s="16">
        <f t="shared" ref="AZ15:AZ20" si="28">ROUND(AC15/(AP15/5),0)</f>
        <v>1</v>
      </c>
      <c r="BA15" s="17">
        <f t="shared" ref="BA15:BA20" si="29">ROUND(AF15/(AQ15/5),0)</f>
        <v>1</v>
      </c>
    </row>
    <row r="16" spans="1:53" x14ac:dyDescent="0.3">
      <c r="A16" s="184" t="s">
        <v>58</v>
      </c>
      <c r="B16" s="127">
        <v>44079</v>
      </c>
      <c r="C16" s="243">
        <v>44104</v>
      </c>
      <c r="D16" s="130">
        <v>1500</v>
      </c>
      <c r="E16" s="129">
        <v>220</v>
      </c>
      <c r="F16" s="169">
        <v>0</v>
      </c>
      <c r="G16" s="246">
        <v>2980</v>
      </c>
      <c r="H16" s="171">
        <v>1260</v>
      </c>
      <c r="I16" s="172">
        <v>0</v>
      </c>
      <c r="J16" s="130">
        <v>2660</v>
      </c>
      <c r="K16" s="129">
        <v>700</v>
      </c>
      <c r="L16" s="131">
        <v>0</v>
      </c>
      <c r="M16" s="130">
        <v>2566</v>
      </c>
      <c r="N16" s="129">
        <v>714</v>
      </c>
      <c r="O16" s="128">
        <v>0</v>
      </c>
      <c r="P16" s="130">
        <v>1587</v>
      </c>
      <c r="Q16" s="129">
        <v>293</v>
      </c>
      <c r="R16" s="128">
        <v>0</v>
      </c>
      <c r="S16" s="130">
        <v>780</v>
      </c>
      <c r="T16" s="129">
        <v>515</v>
      </c>
      <c r="U16" s="128">
        <v>0</v>
      </c>
      <c r="V16" s="130">
        <v>1590</v>
      </c>
      <c r="W16" s="129">
        <v>1030</v>
      </c>
      <c r="X16" s="128">
        <v>0</v>
      </c>
      <c r="Y16" s="130">
        <v>980</v>
      </c>
      <c r="Z16" s="129">
        <v>370</v>
      </c>
      <c r="AA16" s="128">
        <v>0</v>
      </c>
      <c r="AB16" s="130">
        <v>860</v>
      </c>
      <c r="AC16" s="129">
        <v>380</v>
      </c>
      <c r="AD16" s="128">
        <v>0</v>
      </c>
      <c r="AE16" s="130">
        <v>1610</v>
      </c>
      <c r="AF16" s="129">
        <v>1050</v>
      </c>
      <c r="AG16" s="224">
        <v>0</v>
      </c>
      <c r="AH16" s="231">
        <f>+Janvier!AJ16</f>
        <v>952.54120879120887</v>
      </c>
      <c r="AI16" s="231">
        <f>+Janvier!AK16</f>
        <v>2963.4615384615386</v>
      </c>
      <c r="AJ16" s="231">
        <f>+Janvier!AL16</f>
        <v>2222.5961538461538</v>
      </c>
      <c r="AK16" s="231">
        <f>+Janvier!AM16</f>
        <v>2222.5961538461538</v>
      </c>
      <c r="AL16" s="231">
        <f>+Janvier!AN16</f>
        <v>1347.0279720279721</v>
      </c>
      <c r="AM16" s="231">
        <f>+Janvier!AO16</f>
        <v>833.47355769230774</v>
      </c>
      <c r="AN16" s="231">
        <f>+Janvier!AP16</f>
        <v>1666.9471153846155</v>
      </c>
      <c r="AO16" s="231">
        <f>+Janvier!AQ16</f>
        <v>833.47355769230774</v>
      </c>
      <c r="AP16" s="231">
        <f>+Janvier!AR16</f>
        <v>833.47355769230774</v>
      </c>
      <c r="AQ16" s="231">
        <f>+Janvier!AS16</f>
        <v>1481.7307692307693</v>
      </c>
      <c r="AR16" s="16">
        <f t="shared" si="20"/>
        <v>1</v>
      </c>
      <c r="AS16" s="16">
        <f t="shared" si="21"/>
        <v>2</v>
      </c>
      <c r="AT16" s="16">
        <f t="shared" si="22"/>
        <v>2</v>
      </c>
      <c r="AU16" s="16">
        <f t="shared" si="23"/>
        <v>2</v>
      </c>
      <c r="AV16" s="16">
        <f t="shared" si="24"/>
        <v>1</v>
      </c>
      <c r="AW16" s="16">
        <f t="shared" si="25"/>
        <v>3</v>
      </c>
      <c r="AX16" s="16">
        <f t="shared" si="26"/>
        <v>3</v>
      </c>
      <c r="AY16" s="16">
        <f t="shared" si="27"/>
        <v>2</v>
      </c>
      <c r="AZ16" s="16">
        <f t="shared" si="28"/>
        <v>2</v>
      </c>
      <c r="BA16" s="17">
        <f t="shared" si="29"/>
        <v>4</v>
      </c>
    </row>
    <row r="17" spans="1:53" x14ac:dyDescent="0.3">
      <c r="A17" s="184" t="s">
        <v>59</v>
      </c>
      <c r="B17" s="127">
        <v>44079</v>
      </c>
      <c r="C17" s="243">
        <v>44104</v>
      </c>
      <c r="D17" s="130">
        <v>1000</v>
      </c>
      <c r="E17" s="129">
        <v>800</v>
      </c>
      <c r="F17" s="169">
        <v>0</v>
      </c>
      <c r="G17" s="246">
        <v>2500</v>
      </c>
      <c r="H17" s="171">
        <v>1300</v>
      </c>
      <c r="I17" s="172">
        <v>0</v>
      </c>
      <c r="J17" s="130">
        <v>1990</v>
      </c>
      <c r="K17" s="129">
        <v>460</v>
      </c>
      <c r="L17" s="128">
        <v>0</v>
      </c>
      <c r="M17" s="130">
        <v>2000</v>
      </c>
      <c r="N17" s="129">
        <v>540</v>
      </c>
      <c r="O17" s="128">
        <v>0</v>
      </c>
      <c r="P17" s="130">
        <v>1231</v>
      </c>
      <c r="Q17" s="129">
        <v>271</v>
      </c>
      <c r="R17" s="128">
        <v>0</v>
      </c>
      <c r="S17" s="130">
        <v>640</v>
      </c>
      <c r="T17" s="129">
        <v>215</v>
      </c>
      <c r="U17" s="128">
        <v>0</v>
      </c>
      <c r="V17" s="130">
        <v>1200</v>
      </c>
      <c r="W17" s="129">
        <v>360</v>
      </c>
      <c r="X17" s="128">
        <v>0</v>
      </c>
      <c r="Y17" s="130">
        <v>680</v>
      </c>
      <c r="Z17" s="129">
        <v>220</v>
      </c>
      <c r="AA17" s="128">
        <v>0</v>
      </c>
      <c r="AB17" s="130">
        <v>750</v>
      </c>
      <c r="AC17" s="129">
        <v>60</v>
      </c>
      <c r="AD17" s="128">
        <v>0</v>
      </c>
      <c r="AE17" s="130">
        <v>1350</v>
      </c>
      <c r="AF17" s="129">
        <v>640</v>
      </c>
      <c r="AG17" s="224">
        <v>0</v>
      </c>
      <c r="AH17" s="231">
        <f>+Janvier!AJ17</f>
        <v>506.86813186813191</v>
      </c>
      <c r="AI17" s="231">
        <f>+Janvier!AK17</f>
        <v>1576.9230769230767</v>
      </c>
      <c r="AJ17" s="231">
        <f>+Janvier!AL17</f>
        <v>1182.6923076923076</v>
      </c>
      <c r="AK17" s="231">
        <f>+Janvier!AM17</f>
        <v>1182.6923076923076</v>
      </c>
      <c r="AL17" s="231">
        <f>+Janvier!AN17</f>
        <v>716.78321678321686</v>
      </c>
      <c r="AM17" s="231">
        <f>+Janvier!AO17</f>
        <v>443.50961538461542</v>
      </c>
      <c r="AN17" s="231">
        <f>+Janvier!AP17</f>
        <v>887.01923076923083</v>
      </c>
      <c r="AO17" s="231">
        <f>+Janvier!AQ17</f>
        <v>443.50961538461542</v>
      </c>
      <c r="AP17" s="231">
        <f>+Janvier!AR17</f>
        <v>443.50961538461542</v>
      </c>
      <c r="AQ17" s="231">
        <f>+Janvier!AS17</f>
        <v>788.46153846153834</v>
      </c>
      <c r="AR17" s="16">
        <f t="shared" si="20"/>
        <v>8</v>
      </c>
      <c r="AS17" s="16">
        <f t="shared" si="21"/>
        <v>4</v>
      </c>
      <c r="AT17" s="16">
        <f t="shared" si="22"/>
        <v>2</v>
      </c>
      <c r="AU17" s="16">
        <f t="shared" si="23"/>
        <v>2</v>
      </c>
      <c r="AV17" s="16">
        <f t="shared" si="24"/>
        <v>2</v>
      </c>
      <c r="AW17" s="16">
        <f t="shared" si="25"/>
        <v>2</v>
      </c>
      <c r="AX17" s="16">
        <f t="shared" si="26"/>
        <v>2</v>
      </c>
      <c r="AY17" s="16">
        <f t="shared" si="27"/>
        <v>2</v>
      </c>
      <c r="AZ17" s="16">
        <f t="shared" si="28"/>
        <v>1</v>
      </c>
      <c r="BA17" s="17">
        <f t="shared" si="29"/>
        <v>4</v>
      </c>
    </row>
    <row r="18" spans="1:53" x14ac:dyDescent="0.3">
      <c r="A18" s="184" t="s">
        <v>60</v>
      </c>
      <c r="B18" s="127">
        <v>44079</v>
      </c>
      <c r="C18" s="243">
        <v>44104</v>
      </c>
      <c r="D18" s="130">
        <v>880</v>
      </c>
      <c r="E18" s="129">
        <v>120</v>
      </c>
      <c r="F18" s="169">
        <v>0</v>
      </c>
      <c r="G18" s="246">
        <v>2320</v>
      </c>
      <c r="H18" s="171">
        <v>120</v>
      </c>
      <c r="I18" s="172">
        <v>0</v>
      </c>
      <c r="J18" s="130">
        <v>1670</v>
      </c>
      <c r="K18" s="129">
        <v>610</v>
      </c>
      <c r="L18" s="131">
        <v>0</v>
      </c>
      <c r="M18" s="130">
        <v>2244</v>
      </c>
      <c r="N18" s="129">
        <v>636</v>
      </c>
      <c r="O18" s="131">
        <v>0</v>
      </c>
      <c r="P18" s="130">
        <v>1477</v>
      </c>
      <c r="Q18" s="129">
        <v>461</v>
      </c>
      <c r="R18" s="128">
        <v>0</v>
      </c>
      <c r="S18" s="130">
        <v>690</v>
      </c>
      <c r="T18" s="129">
        <v>495</v>
      </c>
      <c r="U18" s="128">
        <v>0</v>
      </c>
      <c r="V18" s="130">
        <v>1320</v>
      </c>
      <c r="W18" s="129">
        <v>870</v>
      </c>
      <c r="X18" s="128">
        <v>0</v>
      </c>
      <c r="Y18" s="130">
        <v>930</v>
      </c>
      <c r="Z18" s="129">
        <v>440</v>
      </c>
      <c r="AA18" s="128">
        <v>0</v>
      </c>
      <c r="AB18" s="130">
        <v>580</v>
      </c>
      <c r="AC18" s="129">
        <v>440</v>
      </c>
      <c r="AD18" s="128">
        <v>0</v>
      </c>
      <c r="AE18" s="130">
        <v>1160</v>
      </c>
      <c r="AF18" s="129">
        <v>450</v>
      </c>
      <c r="AG18" s="224">
        <v>0</v>
      </c>
      <c r="AH18" s="231">
        <f>+Janvier!AJ18</f>
        <v>785.76923076923083</v>
      </c>
      <c r="AI18" s="231">
        <f>+Janvier!AK18</f>
        <v>2444.6153846153852</v>
      </c>
      <c r="AJ18" s="231">
        <f>+Janvier!AL18</f>
        <v>1833.4615384615383</v>
      </c>
      <c r="AK18" s="231">
        <f>+Janvier!AM18</f>
        <v>1833.4615384615383</v>
      </c>
      <c r="AL18" s="231">
        <f>+Janvier!AN18</f>
        <v>1111.1888111888113</v>
      </c>
      <c r="AM18" s="231">
        <f>+Janvier!AO18</f>
        <v>687.54807692307713</v>
      </c>
      <c r="AN18" s="231">
        <f>+Janvier!AP18</f>
        <v>1375.0961538461543</v>
      </c>
      <c r="AO18" s="231">
        <f>+Janvier!AQ18</f>
        <v>687.54807692307713</v>
      </c>
      <c r="AP18" s="231">
        <f>+Janvier!AR18</f>
        <v>687.54807692307713</v>
      </c>
      <c r="AQ18" s="231">
        <f>+Janvier!AS18</f>
        <v>1222.3076923076926</v>
      </c>
      <c r="AR18" s="16">
        <f t="shared" si="20"/>
        <v>1</v>
      </c>
      <c r="AS18" s="16">
        <f t="shared" si="21"/>
        <v>0</v>
      </c>
      <c r="AT18" s="16">
        <f t="shared" si="22"/>
        <v>2</v>
      </c>
      <c r="AU18" s="16">
        <f t="shared" si="23"/>
        <v>2</v>
      </c>
      <c r="AV18" s="16">
        <f t="shared" si="24"/>
        <v>2</v>
      </c>
      <c r="AW18" s="16">
        <f t="shared" si="25"/>
        <v>4</v>
      </c>
      <c r="AX18" s="16">
        <f t="shared" si="26"/>
        <v>3</v>
      </c>
      <c r="AY18" s="16">
        <f t="shared" si="27"/>
        <v>3</v>
      </c>
      <c r="AZ18" s="16">
        <f t="shared" si="28"/>
        <v>3</v>
      </c>
      <c r="BA18" s="17">
        <f t="shared" si="29"/>
        <v>2</v>
      </c>
    </row>
    <row r="19" spans="1:53" x14ac:dyDescent="0.3">
      <c r="A19" s="184" t="s">
        <v>61</v>
      </c>
      <c r="B19" s="127">
        <v>44079</v>
      </c>
      <c r="C19" s="243">
        <v>44104</v>
      </c>
      <c r="D19" s="130">
        <v>280</v>
      </c>
      <c r="E19" s="129">
        <v>280</v>
      </c>
      <c r="F19" s="169">
        <v>0</v>
      </c>
      <c r="G19" s="247">
        <v>860</v>
      </c>
      <c r="H19" s="175">
        <v>860</v>
      </c>
      <c r="I19" s="176">
        <v>0</v>
      </c>
      <c r="J19" s="134">
        <v>650</v>
      </c>
      <c r="K19" s="133">
        <v>650</v>
      </c>
      <c r="L19" s="132">
        <v>0</v>
      </c>
      <c r="M19" s="134">
        <v>652</v>
      </c>
      <c r="N19" s="133">
        <v>652</v>
      </c>
      <c r="O19" s="132">
        <v>0</v>
      </c>
      <c r="P19" s="134">
        <v>800</v>
      </c>
      <c r="Q19" s="133">
        <v>1230</v>
      </c>
      <c r="R19" s="132">
        <v>0</v>
      </c>
      <c r="S19" s="134">
        <v>50</v>
      </c>
      <c r="T19" s="133">
        <v>270</v>
      </c>
      <c r="U19" s="132">
        <v>0</v>
      </c>
      <c r="V19" s="134">
        <v>1030</v>
      </c>
      <c r="W19" s="133">
        <v>1180</v>
      </c>
      <c r="X19" s="132">
        <v>0</v>
      </c>
      <c r="Y19" s="134">
        <v>640</v>
      </c>
      <c r="Z19" s="133">
        <v>870</v>
      </c>
      <c r="AA19" s="132">
        <v>0</v>
      </c>
      <c r="AB19" s="134">
        <v>360</v>
      </c>
      <c r="AC19" s="133">
        <v>770</v>
      </c>
      <c r="AD19" s="132">
        <v>0</v>
      </c>
      <c r="AE19" s="134">
        <v>640</v>
      </c>
      <c r="AF19" s="133">
        <v>1370</v>
      </c>
      <c r="AG19" s="225">
        <v>0</v>
      </c>
      <c r="AH19" s="231">
        <f>+Janvier!AJ19</f>
        <v>309.43681318681325</v>
      </c>
      <c r="AI19" s="231">
        <f>+Janvier!AK19</f>
        <v>962.69230769230785</v>
      </c>
      <c r="AJ19" s="231">
        <f>+Janvier!AL19</f>
        <v>722.01923076923083</v>
      </c>
      <c r="AK19" s="231">
        <f>+Janvier!AM19</f>
        <v>722.01923076923083</v>
      </c>
      <c r="AL19" s="231">
        <f>+Janvier!AN19</f>
        <v>437.5874125874127</v>
      </c>
      <c r="AM19" s="231">
        <f>+Janvier!AO19</f>
        <v>270.75721153846155</v>
      </c>
      <c r="AN19" s="231">
        <f>+Janvier!AP19</f>
        <v>541.51442307692309</v>
      </c>
      <c r="AO19" s="231">
        <f>+Janvier!AQ19</f>
        <v>270.75721153846155</v>
      </c>
      <c r="AP19" s="231">
        <f>+Janvier!AR19</f>
        <v>270.75721153846155</v>
      </c>
      <c r="AQ19" s="231">
        <f>+Janvier!AS19</f>
        <v>481.34615384615392</v>
      </c>
      <c r="AR19" s="16">
        <f t="shared" si="20"/>
        <v>5</v>
      </c>
      <c r="AS19" s="16">
        <f t="shared" si="21"/>
        <v>4</v>
      </c>
      <c r="AT19" s="16">
        <f t="shared" si="22"/>
        <v>5</v>
      </c>
      <c r="AU19" s="16">
        <f t="shared" si="23"/>
        <v>5</v>
      </c>
      <c r="AV19" s="16">
        <f t="shared" si="24"/>
        <v>14</v>
      </c>
      <c r="AW19" s="16">
        <f t="shared" si="25"/>
        <v>5</v>
      </c>
      <c r="AX19" s="16">
        <f t="shared" si="26"/>
        <v>11</v>
      </c>
      <c r="AY19" s="16">
        <f t="shared" si="27"/>
        <v>16</v>
      </c>
      <c r="AZ19" s="16">
        <f t="shared" si="28"/>
        <v>14</v>
      </c>
      <c r="BA19" s="17">
        <f t="shared" si="29"/>
        <v>14</v>
      </c>
    </row>
    <row r="20" spans="1:53" ht="15" thickBot="1" x14ac:dyDescent="0.35">
      <c r="A20" s="121" t="s">
        <v>62</v>
      </c>
      <c r="B20" s="156">
        <v>44079</v>
      </c>
      <c r="C20" s="244">
        <v>44104</v>
      </c>
      <c r="D20" s="159">
        <v>440</v>
      </c>
      <c r="E20" s="158">
        <v>60</v>
      </c>
      <c r="F20" s="177">
        <v>0</v>
      </c>
      <c r="G20" s="248">
        <v>1600</v>
      </c>
      <c r="H20" s="179">
        <v>980</v>
      </c>
      <c r="I20" s="180">
        <v>0</v>
      </c>
      <c r="J20" s="159">
        <v>1100</v>
      </c>
      <c r="K20" s="158">
        <v>560</v>
      </c>
      <c r="L20" s="157">
        <v>0</v>
      </c>
      <c r="M20" s="159">
        <v>1080</v>
      </c>
      <c r="N20" s="158">
        <v>600</v>
      </c>
      <c r="O20" s="157">
        <v>0</v>
      </c>
      <c r="P20" s="159">
        <v>426</v>
      </c>
      <c r="Q20" s="158">
        <v>483</v>
      </c>
      <c r="R20" s="157">
        <v>0</v>
      </c>
      <c r="S20" s="159">
        <v>290</v>
      </c>
      <c r="T20" s="158">
        <v>230</v>
      </c>
      <c r="U20" s="157">
        <v>0</v>
      </c>
      <c r="V20" s="159">
        <v>490</v>
      </c>
      <c r="W20" s="158">
        <v>400</v>
      </c>
      <c r="X20" s="157">
        <v>0</v>
      </c>
      <c r="Y20" s="159">
        <v>310</v>
      </c>
      <c r="Z20" s="158">
        <v>120</v>
      </c>
      <c r="AA20" s="157">
        <v>0</v>
      </c>
      <c r="AB20" s="159">
        <v>380</v>
      </c>
      <c r="AC20" s="158">
        <v>100</v>
      </c>
      <c r="AD20" s="157">
        <v>0</v>
      </c>
      <c r="AE20" s="159">
        <v>310</v>
      </c>
      <c r="AF20" s="158">
        <v>600</v>
      </c>
      <c r="AG20" s="226">
        <v>0</v>
      </c>
      <c r="AH20" s="231">
        <f>+Janvier!AJ20</f>
        <v>485.2335164835165</v>
      </c>
      <c r="AI20" s="231">
        <f>+Janvier!AK20</f>
        <v>1509.6153846153845</v>
      </c>
      <c r="AJ20" s="231">
        <f>+Janvier!AL20</f>
        <v>1132.2115384615383</v>
      </c>
      <c r="AK20" s="231">
        <f>+Janvier!AM20</f>
        <v>1132.2115384615383</v>
      </c>
      <c r="AL20" s="231">
        <f>+Janvier!AN20</f>
        <v>686.1888111888112</v>
      </c>
      <c r="AM20" s="231">
        <f>+Janvier!AO20</f>
        <v>424.57932692307691</v>
      </c>
      <c r="AN20" s="231">
        <f>+Janvier!AP20</f>
        <v>849.15865384615381</v>
      </c>
      <c r="AO20" s="231">
        <f>+Janvier!AQ20</f>
        <v>424.57932692307691</v>
      </c>
      <c r="AP20" s="231">
        <f>+Janvier!AR20</f>
        <v>424.57932692307691</v>
      </c>
      <c r="AQ20" s="231">
        <f>+Janvier!AS20</f>
        <v>754.80769230769226</v>
      </c>
      <c r="AR20" s="32">
        <f t="shared" si="20"/>
        <v>1</v>
      </c>
      <c r="AS20" s="32">
        <f t="shared" si="21"/>
        <v>3</v>
      </c>
      <c r="AT20" s="32">
        <f t="shared" si="22"/>
        <v>2</v>
      </c>
      <c r="AU20" s="32">
        <f t="shared" si="23"/>
        <v>3</v>
      </c>
      <c r="AV20" s="32">
        <f t="shared" si="24"/>
        <v>4</v>
      </c>
      <c r="AW20" s="32">
        <f t="shared" si="25"/>
        <v>3</v>
      </c>
      <c r="AX20" s="32">
        <f t="shared" si="26"/>
        <v>2</v>
      </c>
      <c r="AY20" s="32">
        <f t="shared" si="27"/>
        <v>1</v>
      </c>
      <c r="AZ20" s="32">
        <f t="shared" si="28"/>
        <v>1</v>
      </c>
      <c r="BA20" s="33">
        <f t="shared" si="29"/>
        <v>4</v>
      </c>
    </row>
    <row r="21" spans="1:53" x14ac:dyDescent="0.3">
      <c r="A21" s="140" t="s">
        <v>91</v>
      </c>
      <c r="B21" s="160">
        <v>44075</v>
      </c>
      <c r="C21" s="160">
        <v>44104</v>
      </c>
      <c r="D21" s="252">
        <v>0</v>
      </c>
      <c r="E21" s="149">
        <v>29780</v>
      </c>
      <c r="F21" s="150">
        <v>0</v>
      </c>
      <c r="G21" s="125">
        <v>0</v>
      </c>
      <c r="H21" s="123">
        <v>69420</v>
      </c>
      <c r="I21" s="126">
        <v>0</v>
      </c>
      <c r="J21" s="125">
        <v>0</v>
      </c>
      <c r="K21" s="123">
        <v>53280</v>
      </c>
      <c r="L21" s="124">
        <v>0</v>
      </c>
      <c r="M21" s="125">
        <v>0</v>
      </c>
      <c r="N21" s="123">
        <v>64592</v>
      </c>
      <c r="O21" s="124">
        <v>0</v>
      </c>
      <c r="P21" s="125">
        <v>0</v>
      </c>
      <c r="Q21" s="123">
        <v>34546</v>
      </c>
      <c r="R21" s="124">
        <v>0</v>
      </c>
      <c r="S21" s="125">
        <v>0</v>
      </c>
      <c r="T21" s="123">
        <v>17900</v>
      </c>
      <c r="U21" s="124">
        <v>0</v>
      </c>
      <c r="V21" s="125">
        <v>0</v>
      </c>
      <c r="W21" s="123">
        <v>38090</v>
      </c>
      <c r="X21" s="124">
        <v>0</v>
      </c>
      <c r="Y21" s="125">
        <v>0</v>
      </c>
      <c r="Z21" s="114">
        <v>22670</v>
      </c>
      <c r="AA21" s="115">
        <v>0</v>
      </c>
      <c r="AB21" s="113">
        <v>0</v>
      </c>
      <c r="AC21" s="123">
        <v>23030</v>
      </c>
      <c r="AD21" s="124">
        <v>0</v>
      </c>
      <c r="AE21" s="125">
        <v>0</v>
      </c>
      <c r="AF21" s="123">
        <v>45640</v>
      </c>
      <c r="AG21" s="126">
        <v>0</v>
      </c>
      <c r="AH21" s="231">
        <f>+Janvier!AJ21</f>
        <v>46732.578750000001</v>
      </c>
      <c r="AI21" s="231">
        <f>+Janvier!AK21</f>
        <v>160746.05769230769</v>
      </c>
      <c r="AJ21" s="231">
        <f>+Janvier!AL21</f>
        <v>107056.87442307695</v>
      </c>
      <c r="AK21" s="231">
        <f>+Janvier!AM21</f>
        <v>107056.87442307695</v>
      </c>
      <c r="AL21" s="231">
        <f>+Janvier!AN21</f>
        <v>67513.344230769231</v>
      </c>
      <c r="AM21" s="231">
        <f>+Janvier!AO21</f>
        <v>40186.514423076922</v>
      </c>
      <c r="AN21" s="231">
        <f>+Janvier!AP21</f>
        <v>80373.028846153844</v>
      </c>
      <c r="AO21" s="231">
        <f>+Janvier!AQ21</f>
        <v>40186.514423076922</v>
      </c>
      <c r="AP21" s="231">
        <f>+Janvier!AR21</f>
        <v>40186.514423076922</v>
      </c>
      <c r="AQ21" s="231">
        <f>+Janvier!AS21</f>
        <v>72549.877500000002</v>
      </c>
      <c r="AR21" s="90">
        <f>ROUND(E21/(AH21/15),0)</f>
        <v>10</v>
      </c>
      <c r="AS21" s="90">
        <f t="shared" ref="AS21" si="30">ROUND(H21/(AI21/15),0)</f>
        <v>6</v>
      </c>
      <c r="AT21" s="90">
        <f t="shared" ref="AT21" si="31">ROUND(K21/(AJ21/15),0)</f>
        <v>7</v>
      </c>
      <c r="AU21" s="90">
        <f t="shared" ref="AU21" si="32">ROUND(N21/(AK21/15),0)</f>
        <v>9</v>
      </c>
      <c r="AV21" s="90">
        <f t="shared" ref="AV21" si="33">ROUND(Q21/(AL21/15),0)</f>
        <v>8</v>
      </c>
      <c r="AW21" s="90">
        <f t="shared" ref="AW21" si="34">ROUND(T21/(AM21/15),0)</f>
        <v>7</v>
      </c>
      <c r="AX21" s="90">
        <f t="shared" ref="AX21" si="35">ROUND(W21/(AN21/15),0)</f>
        <v>7</v>
      </c>
      <c r="AY21" s="90">
        <f t="shared" ref="AY21" si="36">ROUND(Z21/(AO21/15),0)</f>
        <v>8</v>
      </c>
      <c r="AZ21" s="90">
        <f t="shared" ref="AZ21" si="37">ROUND(AC21/(AP21/15),0)</f>
        <v>9</v>
      </c>
      <c r="BA21" s="91">
        <f t="shared" ref="BA21" si="38">ROUND(AF21/(AQ21/15),0)</f>
        <v>9</v>
      </c>
    </row>
    <row r="22" spans="1:53" x14ac:dyDescent="0.3">
      <c r="A22" s="184" t="s">
        <v>14</v>
      </c>
      <c r="B22" s="94">
        <v>44075</v>
      </c>
      <c r="C22" s="94">
        <v>44104</v>
      </c>
      <c r="D22" s="104">
        <v>1740</v>
      </c>
      <c r="E22" s="96">
        <v>1800</v>
      </c>
      <c r="F22" s="97">
        <v>0</v>
      </c>
      <c r="G22" s="95">
        <v>4300</v>
      </c>
      <c r="H22" s="96">
        <v>5480</v>
      </c>
      <c r="I22" s="105">
        <v>0</v>
      </c>
      <c r="J22" s="95">
        <v>3600</v>
      </c>
      <c r="K22" s="96">
        <v>4280</v>
      </c>
      <c r="L22" s="97">
        <v>0</v>
      </c>
      <c r="M22" s="95">
        <v>2800</v>
      </c>
      <c r="N22" s="96">
        <v>4164</v>
      </c>
      <c r="O22" s="97">
        <v>0</v>
      </c>
      <c r="P22" s="95">
        <v>2600</v>
      </c>
      <c r="Q22" s="96">
        <v>2750</v>
      </c>
      <c r="R22" s="97">
        <v>0</v>
      </c>
      <c r="S22" s="95">
        <v>830</v>
      </c>
      <c r="T22" s="96">
        <v>1560</v>
      </c>
      <c r="U22" s="97">
        <v>0</v>
      </c>
      <c r="V22" s="95">
        <v>2320</v>
      </c>
      <c r="W22" s="96">
        <v>3400</v>
      </c>
      <c r="X22" s="97">
        <v>0</v>
      </c>
      <c r="Y22" s="95">
        <v>890</v>
      </c>
      <c r="Z22" s="96">
        <v>1580</v>
      </c>
      <c r="AA22" s="100">
        <v>0</v>
      </c>
      <c r="AB22" s="95">
        <v>1630</v>
      </c>
      <c r="AC22" s="96">
        <v>1620</v>
      </c>
      <c r="AD22" s="97">
        <v>0</v>
      </c>
      <c r="AE22" s="95">
        <v>1700</v>
      </c>
      <c r="AF22" s="96">
        <v>2690</v>
      </c>
      <c r="AG22" s="105">
        <v>0</v>
      </c>
      <c r="AH22" s="231">
        <f>+Janvier!AJ22</f>
        <v>1770.3296703296703</v>
      </c>
      <c r="AI22" s="231">
        <f>+Janvier!AK22</f>
        <v>5507.6923076923067</v>
      </c>
      <c r="AJ22" s="231">
        <f>+Janvier!AL22</f>
        <v>4130.7692307692305</v>
      </c>
      <c r="AK22" s="231">
        <f>+Janvier!AM22</f>
        <v>4130.7692307692305</v>
      </c>
      <c r="AL22" s="231">
        <f>+Janvier!AN22</f>
        <v>2503.4965034965039</v>
      </c>
      <c r="AM22" s="231">
        <f>+Janvier!AO22</f>
        <v>1549.0384615384617</v>
      </c>
      <c r="AN22" s="231">
        <f>+Janvier!AP22</f>
        <v>3098.0769230769233</v>
      </c>
      <c r="AO22" s="231">
        <f>+Janvier!AQ22</f>
        <v>1549.0384615384617</v>
      </c>
      <c r="AP22" s="231">
        <f>+Janvier!AR22</f>
        <v>1549.0384615384617</v>
      </c>
      <c r="AQ22" s="231">
        <f>+Janvier!AS22</f>
        <v>2753.8461538461534</v>
      </c>
      <c r="AR22" s="90">
        <f t="shared" ref="AR22:AR29" si="39">ROUND(E22/(AH22/5),0)</f>
        <v>5</v>
      </c>
      <c r="AS22" s="90">
        <f t="shared" ref="AS22:AS29" si="40">ROUND(H22/(AI22/5),0)</f>
        <v>5</v>
      </c>
      <c r="AT22" s="90">
        <f t="shared" ref="AT22:AT29" si="41">ROUND(K22/(AJ22/5),0)</f>
        <v>5</v>
      </c>
      <c r="AU22" s="90">
        <f t="shared" ref="AU22:AU29" si="42">ROUND(N22/(AK22/5),0)</f>
        <v>5</v>
      </c>
      <c r="AV22" s="90">
        <f t="shared" ref="AV22:AV29" si="43">ROUND(Q22/(AL22/5),0)</f>
        <v>5</v>
      </c>
      <c r="AW22" s="90">
        <f t="shared" ref="AW22:AW29" si="44">ROUND(T22/(AM22/5),0)</f>
        <v>5</v>
      </c>
      <c r="AX22" s="90">
        <f t="shared" ref="AX22" si="45">ROUND(W22/(AN22/5),0)</f>
        <v>5</v>
      </c>
      <c r="AY22" s="90">
        <f t="shared" ref="AY22:AY29" si="46">ROUND(Z22/(AO22/5),0)</f>
        <v>5</v>
      </c>
      <c r="AZ22" s="90">
        <f t="shared" ref="AZ22:AZ29" si="47">ROUND(AC22/(AP22/5),0)</f>
        <v>5</v>
      </c>
      <c r="BA22" s="91">
        <f t="shared" ref="BA22:BA29" si="48">ROUND(AF22/(AQ22/5),0)</f>
        <v>5</v>
      </c>
    </row>
    <row r="23" spans="1:53" x14ac:dyDescent="0.3">
      <c r="A23" s="184" t="s">
        <v>15</v>
      </c>
      <c r="B23" s="94">
        <v>44075</v>
      </c>
      <c r="C23" s="94">
        <v>44104</v>
      </c>
      <c r="D23" s="104">
        <v>100</v>
      </c>
      <c r="E23" s="96">
        <v>780</v>
      </c>
      <c r="F23" s="97">
        <v>0</v>
      </c>
      <c r="G23" s="95">
        <v>720</v>
      </c>
      <c r="H23" s="96">
        <v>2380</v>
      </c>
      <c r="I23" s="105">
        <v>0</v>
      </c>
      <c r="J23" s="95">
        <v>800</v>
      </c>
      <c r="K23" s="96">
        <v>1780</v>
      </c>
      <c r="L23" s="97">
        <v>0</v>
      </c>
      <c r="M23" s="95">
        <v>500</v>
      </c>
      <c r="N23" s="96">
        <v>1800</v>
      </c>
      <c r="O23" s="97">
        <v>0</v>
      </c>
      <c r="P23" s="95">
        <v>425</v>
      </c>
      <c r="Q23" s="96">
        <v>1075</v>
      </c>
      <c r="R23" s="97">
        <v>0</v>
      </c>
      <c r="S23" s="95">
        <v>200</v>
      </c>
      <c r="T23" s="96">
        <v>690</v>
      </c>
      <c r="U23" s="97">
        <v>0</v>
      </c>
      <c r="V23" s="95">
        <v>210</v>
      </c>
      <c r="W23" s="96">
        <v>1340</v>
      </c>
      <c r="X23" s="97">
        <v>0</v>
      </c>
      <c r="Y23" s="95">
        <v>250</v>
      </c>
      <c r="Z23" s="96">
        <v>680</v>
      </c>
      <c r="AA23" s="100">
        <v>0</v>
      </c>
      <c r="AB23" s="95">
        <v>280</v>
      </c>
      <c r="AC23" s="96">
        <v>680</v>
      </c>
      <c r="AD23" s="97">
        <v>0</v>
      </c>
      <c r="AE23" s="95">
        <v>0</v>
      </c>
      <c r="AF23" s="96">
        <v>1220</v>
      </c>
      <c r="AG23" s="105">
        <v>0</v>
      </c>
      <c r="AH23" s="231">
        <f>+Janvier!AJ23</f>
        <v>768.21428571428578</v>
      </c>
      <c r="AI23" s="231">
        <f>+Janvier!AK23</f>
        <v>2390.0000000000005</v>
      </c>
      <c r="AJ23" s="231">
        <f>+Janvier!AL23</f>
        <v>1792.5000000000002</v>
      </c>
      <c r="AK23" s="231">
        <f>+Janvier!AM23</f>
        <v>1792.5000000000002</v>
      </c>
      <c r="AL23" s="231">
        <f>+Janvier!AN23</f>
        <v>1086.3636363636365</v>
      </c>
      <c r="AM23" s="231">
        <f>+Janvier!AO23</f>
        <v>672.1875</v>
      </c>
      <c r="AN23" s="231">
        <f>+Janvier!AP23</f>
        <v>1344.375</v>
      </c>
      <c r="AO23" s="231">
        <f>+Janvier!AQ23</f>
        <v>672.1875</v>
      </c>
      <c r="AP23" s="231">
        <f>+Janvier!AR23</f>
        <v>672.1875</v>
      </c>
      <c r="AQ23" s="231">
        <f>+Janvier!AS23</f>
        <v>1195.0000000000002</v>
      </c>
      <c r="AR23" s="90">
        <f t="shared" si="39"/>
        <v>5</v>
      </c>
      <c r="AS23" s="90">
        <f t="shared" si="40"/>
        <v>5</v>
      </c>
      <c r="AT23" s="90">
        <f t="shared" si="41"/>
        <v>5</v>
      </c>
      <c r="AU23" s="90">
        <f t="shared" si="42"/>
        <v>5</v>
      </c>
      <c r="AV23" s="90">
        <f t="shared" si="43"/>
        <v>5</v>
      </c>
      <c r="AW23" s="90">
        <f t="shared" si="44"/>
        <v>5</v>
      </c>
      <c r="AX23" s="90">
        <f>ROUND(W23/(AN23/5),0)</f>
        <v>5</v>
      </c>
      <c r="AY23" s="90">
        <f t="shared" si="46"/>
        <v>5</v>
      </c>
      <c r="AZ23" s="90">
        <f t="shared" si="47"/>
        <v>5</v>
      </c>
      <c r="BA23" s="91">
        <f t="shared" si="48"/>
        <v>5</v>
      </c>
    </row>
    <row r="24" spans="1:53" ht="14.25" customHeight="1" x14ac:dyDescent="0.3">
      <c r="A24" s="184" t="s">
        <v>16</v>
      </c>
      <c r="B24" s="94">
        <v>44075</v>
      </c>
      <c r="C24" s="94">
        <v>44104</v>
      </c>
      <c r="D24" s="104">
        <v>2040</v>
      </c>
      <c r="E24" s="96">
        <v>3380</v>
      </c>
      <c r="F24" s="97">
        <v>0</v>
      </c>
      <c r="G24" s="95">
        <v>3660</v>
      </c>
      <c r="H24" s="96">
        <v>10520</v>
      </c>
      <c r="I24" s="105">
        <v>0</v>
      </c>
      <c r="J24" s="95">
        <v>3310</v>
      </c>
      <c r="K24" s="96">
        <v>7940</v>
      </c>
      <c r="L24" s="97">
        <v>0</v>
      </c>
      <c r="M24" s="95">
        <v>5032</v>
      </c>
      <c r="N24" s="96">
        <v>7900</v>
      </c>
      <c r="O24" s="97">
        <v>0</v>
      </c>
      <c r="P24" s="95">
        <v>1012</v>
      </c>
      <c r="Q24" s="96">
        <v>4880</v>
      </c>
      <c r="R24" s="97">
        <v>0</v>
      </c>
      <c r="S24" s="95">
        <v>1150</v>
      </c>
      <c r="T24" s="96">
        <v>2980</v>
      </c>
      <c r="U24" s="97">
        <v>0</v>
      </c>
      <c r="V24" s="95">
        <v>1730</v>
      </c>
      <c r="W24" s="96">
        <v>5970</v>
      </c>
      <c r="X24" s="97">
        <v>0</v>
      </c>
      <c r="Y24" s="95">
        <v>1130</v>
      </c>
      <c r="Z24" s="96">
        <v>2990</v>
      </c>
      <c r="AA24" s="100">
        <v>0</v>
      </c>
      <c r="AB24" s="95">
        <v>1170</v>
      </c>
      <c r="AC24" s="96">
        <v>2980</v>
      </c>
      <c r="AD24" s="97">
        <v>0</v>
      </c>
      <c r="AE24" s="95">
        <v>1460</v>
      </c>
      <c r="AF24" s="96">
        <v>5180</v>
      </c>
      <c r="AG24" s="105">
        <v>0</v>
      </c>
      <c r="AH24" s="231">
        <f>+Janvier!AJ24</f>
        <v>3452.1428571428573</v>
      </c>
      <c r="AI24" s="231">
        <f>+Janvier!AK24</f>
        <v>10740.000000000002</v>
      </c>
      <c r="AJ24" s="231">
        <f>+Janvier!AL24</f>
        <v>8055</v>
      </c>
      <c r="AK24" s="231">
        <f>+Janvier!AM24</f>
        <v>8055</v>
      </c>
      <c r="AL24" s="231">
        <f>+Janvier!AN24</f>
        <v>4881.818181818182</v>
      </c>
      <c r="AM24" s="231">
        <f>+Janvier!AO24</f>
        <v>3020.6250000000005</v>
      </c>
      <c r="AN24" s="231">
        <f>+Janvier!AP24</f>
        <v>6041.2500000000009</v>
      </c>
      <c r="AO24" s="231">
        <f>+Janvier!AQ24</f>
        <v>3020.6250000000005</v>
      </c>
      <c r="AP24" s="231">
        <f>+Janvier!AR24</f>
        <v>3020.6250000000005</v>
      </c>
      <c r="AQ24" s="231">
        <f>+Janvier!AS24</f>
        <v>5370.0000000000009</v>
      </c>
      <c r="AR24" s="90">
        <f t="shared" si="39"/>
        <v>5</v>
      </c>
      <c r="AS24" s="90">
        <f t="shared" si="40"/>
        <v>5</v>
      </c>
      <c r="AT24" s="90">
        <f t="shared" si="41"/>
        <v>5</v>
      </c>
      <c r="AU24" s="90">
        <f t="shared" si="42"/>
        <v>5</v>
      </c>
      <c r="AV24" s="90">
        <f t="shared" si="43"/>
        <v>5</v>
      </c>
      <c r="AW24" s="90">
        <f>ROUND(T24/(AM24/5),0)</f>
        <v>5</v>
      </c>
      <c r="AX24" s="90">
        <f t="shared" ref="AX24:AX29" si="49">ROUND(W24/(AN24/5),0)</f>
        <v>5</v>
      </c>
      <c r="AY24" s="90">
        <f t="shared" si="46"/>
        <v>5</v>
      </c>
      <c r="AZ24" s="90">
        <f t="shared" si="47"/>
        <v>5</v>
      </c>
      <c r="BA24" s="91">
        <f t="shared" si="48"/>
        <v>5</v>
      </c>
    </row>
    <row r="25" spans="1:53" ht="14.25" customHeight="1" x14ac:dyDescent="0.3">
      <c r="A25" s="184" t="s">
        <v>17</v>
      </c>
      <c r="B25" s="94">
        <v>44075</v>
      </c>
      <c r="C25" s="94">
        <v>44104</v>
      </c>
      <c r="D25" s="104">
        <v>2920</v>
      </c>
      <c r="E25" s="96">
        <v>3580</v>
      </c>
      <c r="F25" s="97">
        <v>0</v>
      </c>
      <c r="G25" s="95">
        <v>7960</v>
      </c>
      <c r="H25" s="96">
        <v>10880</v>
      </c>
      <c r="I25" s="105">
        <v>0</v>
      </c>
      <c r="J25" s="95">
        <v>6530</v>
      </c>
      <c r="K25" s="96">
        <v>7960</v>
      </c>
      <c r="L25" s="97">
        <v>0</v>
      </c>
      <c r="M25" s="95">
        <v>6640</v>
      </c>
      <c r="N25" s="96">
        <v>8080</v>
      </c>
      <c r="O25" s="97">
        <v>0</v>
      </c>
      <c r="P25" s="95">
        <v>4500</v>
      </c>
      <c r="Q25" s="96">
        <v>5320</v>
      </c>
      <c r="R25" s="97">
        <v>0</v>
      </c>
      <c r="S25" s="95">
        <v>1760</v>
      </c>
      <c r="T25" s="96">
        <v>3200</v>
      </c>
      <c r="U25" s="97">
        <v>0</v>
      </c>
      <c r="V25" s="95">
        <v>3730</v>
      </c>
      <c r="W25" s="96">
        <v>6470</v>
      </c>
      <c r="X25" s="97">
        <v>0</v>
      </c>
      <c r="Y25" s="95">
        <v>2510</v>
      </c>
      <c r="Z25" s="96">
        <v>3260</v>
      </c>
      <c r="AA25" s="100">
        <v>0</v>
      </c>
      <c r="AB25" s="95">
        <v>2530</v>
      </c>
      <c r="AC25" s="96">
        <v>3260</v>
      </c>
      <c r="AD25" s="97">
        <v>0</v>
      </c>
      <c r="AE25" s="95">
        <v>3540</v>
      </c>
      <c r="AF25" s="96">
        <v>5400</v>
      </c>
      <c r="AG25" s="105">
        <v>0</v>
      </c>
      <c r="AH25" s="231">
        <f>+Janvier!AJ25</f>
        <v>3638.3241758241757</v>
      </c>
      <c r="AI25" s="231">
        <f>+Janvier!AK25</f>
        <v>11319.23076923077</v>
      </c>
      <c r="AJ25" s="231">
        <f>+Janvier!AL25</f>
        <v>8489.423076923078</v>
      </c>
      <c r="AK25" s="231">
        <f>+Janvier!AM25</f>
        <v>8489.423076923078</v>
      </c>
      <c r="AL25" s="231">
        <f>+Janvier!AN25</f>
        <v>5145.1048951048951</v>
      </c>
      <c r="AM25" s="231">
        <f>+Janvier!AO25</f>
        <v>3183.5336538461534</v>
      </c>
      <c r="AN25" s="231">
        <f>+Janvier!AP25</f>
        <v>6367.0673076923067</v>
      </c>
      <c r="AO25" s="231">
        <f>+Janvier!AQ25</f>
        <v>3183.5336538461534</v>
      </c>
      <c r="AP25" s="231">
        <f>+Janvier!AR25</f>
        <v>3183.5336538461534</v>
      </c>
      <c r="AQ25" s="231">
        <f>+Janvier!AS25</f>
        <v>5659.6153846153848</v>
      </c>
      <c r="AR25" s="90">
        <f t="shared" si="39"/>
        <v>5</v>
      </c>
      <c r="AS25" s="90">
        <f t="shared" si="40"/>
        <v>5</v>
      </c>
      <c r="AT25" s="90">
        <f t="shared" si="41"/>
        <v>5</v>
      </c>
      <c r="AU25" s="90">
        <f t="shared" si="42"/>
        <v>5</v>
      </c>
      <c r="AV25" s="90">
        <f>ROUND(Q25/(AL25/5),0)</f>
        <v>5</v>
      </c>
      <c r="AW25" s="90">
        <f t="shared" si="44"/>
        <v>5</v>
      </c>
      <c r="AX25" s="90">
        <f t="shared" si="49"/>
        <v>5</v>
      </c>
      <c r="AY25" s="90">
        <f t="shared" si="46"/>
        <v>5</v>
      </c>
      <c r="AZ25" s="90">
        <f t="shared" si="47"/>
        <v>5</v>
      </c>
      <c r="BA25" s="91">
        <f t="shared" si="48"/>
        <v>5</v>
      </c>
    </row>
    <row r="26" spans="1:53" ht="14.25" customHeight="1" x14ac:dyDescent="0.3">
      <c r="A26" s="184" t="s">
        <v>18</v>
      </c>
      <c r="B26" s="94">
        <v>44075</v>
      </c>
      <c r="C26" s="94">
        <v>44104</v>
      </c>
      <c r="D26" s="104">
        <v>240</v>
      </c>
      <c r="E26" s="96">
        <v>720</v>
      </c>
      <c r="F26" s="97">
        <v>0</v>
      </c>
      <c r="G26" s="95">
        <v>600</v>
      </c>
      <c r="H26" s="96">
        <v>2260</v>
      </c>
      <c r="I26" s="105">
        <v>0</v>
      </c>
      <c r="J26" s="95">
        <v>700</v>
      </c>
      <c r="K26" s="96">
        <v>1700</v>
      </c>
      <c r="L26" s="97">
        <v>0</v>
      </c>
      <c r="M26" s="95">
        <v>400</v>
      </c>
      <c r="N26" s="96">
        <v>1688</v>
      </c>
      <c r="O26" s="97">
        <v>0</v>
      </c>
      <c r="P26" s="95">
        <v>500</v>
      </c>
      <c r="Q26" s="96">
        <v>1025</v>
      </c>
      <c r="R26" s="97">
        <v>0</v>
      </c>
      <c r="S26" s="95">
        <v>150</v>
      </c>
      <c r="T26" s="96">
        <v>650</v>
      </c>
      <c r="U26" s="97">
        <v>0</v>
      </c>
      <c r="V26" s="95">
        <v>400</v>
      </c>
      <c r="W26" s="96">
        <v>1280</v>
      </c>
      <c r="X26" s="97">
        <v>0</v>
      </c>
      <c r="Y26" s="95">
        <v>200</v>
      </c>
      <c r="Z26" s="96">
        <v>640</v>
      </c>
      <c r="AA26" s="100">
        <v>0</v>
      </c>
      <c r="AB26" s="95">
        <v>200</v>
      </c>
      <c r="AC26" s="96">
        <v>650</v>
      </c>
      <c r="AD26" s="97">
        <v>0</v>
      </c>
      <c r="AE26" s="95">
        <v>400</v>
      </c>
      <c r="AF26" s="96">
        <v>1150</v>
      </c>
      <c r="AG26" s="105">
        <v>0</v>
      </c>
      <c r="AH26" s="231">
        <f>+Janvier!AJ26</f>
        <v>723.70879120879124</v>
      </c>
      <c r="AI26" s="231">
        <f>+Janvier!AK26</f>
        <v>2251.5384615384619</v>
      </c>
      <c r="AJ26" s="231">
        <f>+Janvier!AL26</f>
        <v>1688.6538461538464</v>
      </c>
      <c r="AK26" s="231">
        <f>+Janvier!AM26</f>
        <v>1688.6538461538464</v>
      </c>
      <c r="AL26" s="231">
        <f>+Janvier!AN26</f>
        <v>1023.4265734265737</v>
      </c>
      <c r="AM26" s="231">
        <f>+Janvier!AO26</f>
        <v>633.24519230769238</v>
      </c>
      <c r="AN26" s="231">
        <f>+Janvier!AP26</f>
        <v>1266.4903846153848</v>
      </c>
      <c r="AO26" s="231">
        <f>+Janvier!AQ26</f>
        <v>633.24519230769238</v>
      </c>
      <c r="AP26" s="231">
        <f>+Janvier!AR26</f>
        <v>633.24519230769238</v>
      </c>
      <c r="AQ26" s="231">
        <f>+Janvier!AS26</f>
        <v>1125.7692307692309</v>
      </c>
      <c r="AR26" s="90">
        <f t="shared" si="39"/>
        <v>5</v>
      </c>
      <c r="AS26" s="90">
        <f t="shared" si="40"/>
        <v>5</v>
      </c>
      <c r="AT26" s="90">
        <f t="shared" si="41"/>
        <v>5</v>
      </c>
      <c r="AU26" s="90">
        <f t="shared" si="42"/>
        <v>5</v>
      </c>
      <c r="AV26" s="90">
        <f t="shared" si="43"/>
        <v>5</v>
      </c>
      <c r="AW26" s="90">
        <f t="shared" si="44"/>
        <v>5</v>
      </c>
      <c r="AX26" s="90">
        <f t="shared" si="49"/>
        <v>5</v>
      </c>
      <c r="AY26" s="90">
        <f t="shared" si="46"/>
        <v>5</v>
      </c>
      <c r="AZ26" s="90">
        <f t="shared" si="47"/>
        <v>5</v>
      </c>
      <c r="BA26" s="91">
        <f t="shared" si="48"/>
        <v>5</v>
      </c>
    </row>
    <row r="27" spans="1:53" ht="14.25" customHeight="1" x14ac:dyDescent="0.3">
      <c r="A27" s="184" t="s">
        <v>19</v>
      </c>
      <c r="B27" s="94">
        <v>44075</v>
      </c>
      <c r="C27" s="94">
        <v>44104</v>
      </c>
      <c r="D27" s="104">
        <v>1480</v>
      </c>
      <c r="E27" s="96">
        <v>1840</v>
      </c>
      <c r="F27" s="97">
        <v>0</v>
      </c>
      <c r="G27" s="95">
        <v>3440</v>
      </c>
      <c r="H27" s="96">
        <v>5700</v>
      </c>
      <c r="I27" s="105">
        <v>0</v>
      </c>
      <c r="J27" s="95">
        <v>1950</v>
      </c>
      <c r="K27" s="96">
        <v>4280</v>
      </c>
      <c r="L27" s="97">
        <v>0</v>
      </c>
      <c r="M27" s="95">
        <v>1776</v>
      </c>
      <c r="N27" s="96">
        <v>4276</v>
      </c>
      <c r="O27" s="97">
        <v>0</v>
      </c>
      <c r="P27" s="95">
        <v>1566</v>
      </c>
      <c r="Q27" s="96">
        <v>2600</v>
      </c>
      <c r="R27" s="97">
        <v>0</v>
      </c>
      <c r="S27" s="95">
        <v>630</v>
      </c>
      <c r="T27" s="96">
        <v>1600</v>
      </c>
      <c r="U27" s="97">
        <v>0</v>
      </c>
      <c r="V27" s="95">
        <v>1390</v>
      </c>
      <c r="W27" s="96">
        <v>3210</v>
      </c>
      <c r="X27" s="97">
        <v>0</v>
      </c>
      <c r="Y27" s="95">
        <v>1150</v>
      </c>
      <c r="Z27" s="96">
        <v>1600</v>
      </c>
      <c r="AA27" s="100">
        <v>0</v>
      </c>
      <c r="AB27" s="95">
        <v>1250</v>
      </c>
      <c r="AC27" s="96">
        <v>1610</v>
      </c>
      <c r="AD27" s="97">
        <v>0</v>
      </c>
      <c r="AE27" s="95">
        <v>380</v>
      </c>
      <c r="AF27" s="96">
        <v>2860</v>
      </c>
      <c r="AG27" s="105">
        <v>0</v>
      </c>
      <c r="AH27" s="231">
        <f>+Janvier!AJ27</f>
        <v>1833.75</v>
      </c>
      <c r="AI27" s="231">
        <f>+Janvier!AK27</f>
        <v>5705.0000000000009</v>
      </c>
      <c r="AJ27" s="231">
        <f>+Janvier!AL27</f>
        <v>4278.7500000000009</v>
      </c>
      <c r="AK27" s="231">
        <f>+Janvier!AM27</f>
        <v>4278.7500000000009</v>
      </c>
      <c r="AL27" s="231">
        <f>+Janvier!AN27</f>
        <v>2593.1818181818189</v>
      </c>
      <c r="AM27" s="231">
        <f>+Janvier!AO27</f>
        <v>1604.53125</v>
      </c>
      <c r="AN27" s="231">
        <f>+Janvier!AP27</f>
        <v>3209.0625</v>
      </c>
      <c r="AO27" s="231">
        <f>+Janvier!AQ27</f>
        <v>1604.53125</v>
      </c>
      <c r="AP27" s="231">
        <f>+Janvier!AR27</f>
        <v>1604.53125</v>
      </c>
      <c r="AQ27" s="231">
        <f>+Janvier!AS27</f>
        <v>2852.5000000000005</v>
      </c>
      <c r="AR27" s="90">
        <f t="shared" si="39"/>
        <v>5</v>
      </c>
      <c r="AS27" s="90">
        <f t="shared" si="40"/>
        <v>5</v>
      </c>
      <c r="AT27" s="90">
        <f t="shared" si="41"/>
        <v>5</v>
      </c>
      <c r="AU27" s="90">
        <f t="shared" si="42"/>
        <v>5</v>
      </c>
      <c r="AV27" s="90">
        <f t="shared" si="43"/>
        <v>5</v>
      </c>
      <c r="AW27" s="90">
        <f t="shared" si="44"/>
        <v>5</v>
      </c>
      <c r="AX27" s="90">
        <f t="shared" si="49"/>
        <v>5</v>
      </c>
      <c r="AY27" s="90">
        <f t="shared" si="46"/>
        <v>5</v>
      </c>
      <c r="AZ27" s="90">
        <f t="shared" si="47"/>
        <v>5</v>
      </c>
      <c r="BA27" s="91">
        <f t="shared" si="48"/>
        <v>5</v>
      </c>
    </row>
    <row r="28" spans="1:53" ht="14.25" customHeight="1" x14ac:dyDescent="0.3">
      <c r="A28" s="184" t="s">
        <v>20</v>
      </c>
      <c r="B28" s="94">
        <v>44075</v>
      </c>
      <c r="C28" s="94">
        <v>44104</v>
      </c>
      <c r="D28" s="104">
        <v>1260</v>
      </c>
      <c r="E28" s="96">
        <v>1280</v>
      </c>
      <c r="F28" s="97">
        <v>0</v>
      </c>
      <c r="G28" s="95">
        <v>3500</v>
      </c>
      <c r="H28" s="96">
        <v>3689</v>
      </c>
      <c r="I28" s="105">
        <v>0</v>
      </c>
      <c r="J28" s="95">
        <v>2630</v>
      </c>
      <c r="K28" s="96">
        <v>2990</v>
      </c>
      <c r="L28" s="97">
        <v>0</v>
      </c>
      <c r="M28" s="95">
        <v>2568</v>
      </c>
      <c r="N28" s="96">
        <v>3004</v>
      </c>
      <c r="O28" s="97">
        <v>0</v>
      </c>
      <c r="P28" s="95">
        <v>1766</v>
      </c>
      <c r="Q28" s="96">
        <v>1815</v>
      </c>
      <c r="R28" s="97">
        <v>0</v>
      </c>
      <c r="S28" s="95">
        <v>840</v>
      </c>
      <c r="T28" s="96">
        <v>980</v>
      </c>
      <c r="U28" s="97">
        <v>0</v>
      </c>
      <c r="V28" s="95">
        <v>1480</v>
      </c>
      <c r="W28" s="96">
        <v>2230</v>
      </c>
      <c r="X28" s="97">
        <v>0</v>
      </c>
      <c r="Y28" s="95">
        <v>930</v>
      </c>
      <c r="Z28" s="96">
        <v>1150</v>
      </c>
      <c r="AA28" s="100">
        <v>0</v>
      </c>
      <c r="AB28" s="95">
        <v>930</v>
      </c>
      <c r="AC28" s="96">
        <v>1170</v>
      </c>
      <c r="AD28" s="97">
        <v>0</v>
      </c>
      <c r="AE28" s="95">
        <v>1020</v>
      </c>
      <c r="AF28" s="96">
        <v>2080</v>
      </c>
      <c r="AG28" s="105">
        <v>0</v>
      </c>
      <c r="AH28" s="231">
        <f>+Janvier!AJ28</f>
        <v>1230.2060439560439</v>
      </c>
      <c r="AI28" s="231">
        <f>+Janvier!AK28</f>
        <v>3827.3076923076924</v>
      </c>
      <c r="AJ28" s="231">
        <f>+Janvier!AL28</f>
        <v>2870.4807692307691</v>
      </c>
      <c r="AK28" s="231">
        <f>+Janvier!AM28</f>
        <v>2870.4807692307691</v>
      </c>
      <c r="AL28" s="231">
        <f>+Janvier!AN28</f>
        <v>1739.6853146853146</v>
      </c>
      <c r="AM28" s="231">
        <f>+Janvier!AO28</f>
        <v>1076.4302884615383</v>
      </c>
      <c r="AN28" s="231">
        <f>+Janvier!AP28</f>
        <v>2152.8605769230767</v>
      </c>
      <c r="AO28" s="231">
        <f>+Janvier!AQ28</f>
        <v>1076.4302884615383</v>
      </c>
      <c r="AP28" s="231">
        <f>+Janvier!AR28</f>
        <v>1076.4302884615383</v>
      </c>
      <c r="AQ28" s="231">
        <f>+Janvier!AS28</f>
        <v>1913.6538461538462</v>
      </c>
      <c r="AR28" s="90">
        <f t="shared" si="39"/>
        <v>5</v>
      </c>
      <c r="AS28" s="90">
        <f t="shared" si="40"/>
        <v>5</v>
      </c>
      <c r="AT28" s="90">
        <f t="shared" si="41"/>
        <v>5</v>
      </c>
      <c r="AU28" s="90">
        <f t="shared" si="42"/>
        <v>5</v>
      </c>
      <c r="AV28" s="90">
        <f t="shared" si="43"/>
        <v>5</v>
      </c>
      <c r="AW28" s="90">
        <f t="shared" si="44"/>
        <v>5</v>
      </c>
      <c r="AX28" s="90">
        <f t="shared" si="49"/>
        <v>5</v>
      </c>
      <c r="AY28" s="90">
        <f t="shared" si="46"/>
        <v>5</v>
      </c>
      <c r="AZ28" s="90">
        <f t="shared" si="47"/>
        <v>5</v>
      </c>
      <c r="BA28" s="91">
        <f t="shared" si="48"/>
        <v>5</v>
      </c>
    </row>
    <row r="29" spans="1:53" ht="15" thickBot="1" x14ac:dyDescent="0.35">
      <c r="A29" s="121" t="s">
        <v>79</v>
      </c>
      <c r="B29" s="143">
        <v>44075</v>
      </c>
      <c r="C29" s="143">
        <v>44104</v>
      </c>
      <c r="D29" s="161">
        <v>1540</v>
      </c>
      <c r="E29" s="109">
        <v>1720</v>
      </c>
      <c r="F29" s="110">
        <v>0</v>
      </c>
      <c r="G29" s="111">
        <v>4840</v>
      </c>
      <c r="H29" s="109">
        <v>6000</v>
      </c>
      <c r="I29" s="112">
        <v>0</v>
      </c>
      <c r="J29" s="111">
        <v>3650</v>
      </c>
      <c r="K29" s="109">
        <v>4750</v>
      </c>
      <c r="L29" s="110">
        <v>0</v>
      </c>
      <c r="M29" s="111">
        <v>3640</v>
      </c>
      <c r="N29" s="109">
        <v>4804</v>
      </c>
      <c r="O29" s="110">
        <v>0</v>
      </c>
      <c r="P29" s="111">
        <v>2335</v>
      </c>
      <c r="Q29" s="109">
        <v>2730</v>
      </c>
      <c r="R29" s="110">
        <v>0</v>
      </c>
      <c r="S29" s="111">
        <v>1240</v>
      </c>
      <c r="T29" s="109">
        <v>1520</v>
      </c>
      <c r="U29" s="110">
        <v>0</v>
      </c>
      <c r="V29" s="111">
        <v>2890</v>
      </c>
      <c r="W29" s="109">
        <v>3420</v>
      </c>
      <c r="X29" s="110">
        <v>0</v>
      </c>
      <c r="Y29" s="111">
        <v>1450</v>
      </c>
      <c r="Z29" s="109">
        <v>1700</v>
      </c>
      <c r="AA29" s="162">
        <v>0</v>
      </c>
      <c r="AB29" s="111">
        <v>1550</v>
      </c>
      <c r="AC29" s="109">
        <v>1690</v>
      </c>
      <c r="AD29" s="110">
        <v>0</v>
      </c>
      <c r="AE29" s="111">
        <v>3040</v>
      </c>
      <c r="AF29" s="109">
        <v>3120</v>
      </c>
      <c r="AG29" s="112">
        <v>0</v>
      </c>
      <c r="AH29" s="231">
        <f>+Janvier!AJ29</f>
        <v>1892.3489010989013</v>
      </c>
      <c r="AI29" s="231">
        <f>+Janvier!AK29</f>
        <v>5887.3076923076933</v>
      </c>
      <c r="AJ29" s="231">
        <f>+Janvier!AL29</f>
        <v>4415.4807692307704</v>
      </c>
      <c r="AK29" s="231">
        <f>+Janvier!AM29</f>
        <v>4415.4807692307704</v>
      </c>
      <c r="AL29" s="231">
        <f>+Janvier!AN29</f>
        <v>2676.0489510489515</v>
      </c>
      <c r="AM29" s="231">
        <f>+Janvier!AO29</f>
        <v>1655.8052884615383</v>
      </c>
      <c r="AN29" s="231">
        <f>+Janvier!AP29</f>
        <v>3311.6105769230767</v>
      </c>
      <c r="AO29" s="231">
        <f>+Janvier!AQ29</f>
        <v>1655.8052884615383</v>
      </c>
      <c r="AP29" s="231">
        <f>+Janvier!AR29</f>
        <v>1655.8052884615383</v>
      </c>
      <c r="AQ29" s="231">
        <f>+Janvier!AS29</f>
        <v>2943.6538461538466</v>
      </c>
      <c r="AR29" s="92">
        <f t="shared" si="39"/>
        <v>5</v>
      </c>
      <c r="AS29" s="92">
        <f t="shared" si="40"/>
        <v>5</v>
      </c>
      <c r="AT29" s="92">
        <f t="shared" si="41"/>
        <v>5</v>
      </c>
      <c r="AU29" s="92">
        <f t="shared" si="42"/>
        <v>5</v>
      </c>
      <c r="AV29" s="92">
        <f t="shared" si="43"/>
        <v>5</v>
      </c>
      <c r="AW29" s="92">
        <f t="shared" si="44"/>
        <v>5</v>
      </c>
      <c r="AX29" s="92">
        <f t="shared" si="49"/>
        <v>5</v>
      </c>
      <c r="AY29" s="92">
        <f t="shared" si="46"/>
        <v>5</v>
      </c>
      <c r="AZ29" s="92">
        <f t="shared" si="47"/>
        <v>5</v>
      </c>
      <c r="BA29" s="93">
        <f t="shared" si="48"/>
        <v>5</v>
      </c>
    </row>
    <row r="30" spans="1:53" ht="15" thickBot="1" x14ac:dyDescent="0.35">
      <c r="A30" s="140" t="s">
        <v>84</v>
      </c>
      <c r="B30" s="160">
        <v>44075</v>
      </c>
      <c r="C30" s="160">
        <v>44104</v>
      </c>
      <c r="D30" s="163">
        <v>0</v>
      </c>
      <c r="E30" s="163">
        <v>28720</v>
      </c>
      <c r="F30" s="124">
        <v>0</v>
      </c>
      <c r="G30" s="254">
        <v>0</v>
      </c>
      <c r="H30" s="163">
        <v>124660</v>
      </c>
      <c r="I30" s="124">
        <v>0</v>
      </c>
      <c r="J30" s="253">
        <v>0</v>
      </c>
      <c r="K30" s="163">
        <v>98790</v>
      </c>
      <c r="L30" s="124">
        <v>0</v>
      </c>
      <c r="M30" s="163">
        <v>0</v>
      </c>
      <c r="N30" s="163">
        <v>93636</v>
      </c>
      <c r="O30" s="124">
        <v>0</v>
      </c>
      <c r="P30" s="163">
        <v>0</v>
      </c>
      <c r="Q30" s="163">
        <v>38500</v>
      </c>
      <c r="R30" s="124">
        <v>0</v>
      </c>
      <c r="S30" s="163">
        <v>0</v>
      </c>
      <c r="T30" s="163">
        <v>42530</v>
      </c>
      <c r="U30" s="124">
        <v>0</v>
      </c>
      <c r="V30" s="163">
        <v>0</v>
      </c>
      <c r="W30" s="163">
        <v>80450</v>
      </c>
      <c r="X30" s="124">
        <v>0</v>
      </c>
      <c r="Y30" s="163">
        <v>0</v>
      </c>
      <c r="Z30" s="163">
        <v>27890</v>
      </c>
      <c r="AA30" s="115">
        <v>0</v>
      </c>
      <c r="AB30" s="163">
        <v>0</v>
      </c>
      <c r="AC30" s="163">
        <v>17120</v>
      </c>
      <c r="AD30" s="124">
        <v>0</v>
      </c>
      <c r="AE30" s="163">
        <v>0</v>
      </c>
      <c r="AF30" s="163">
        <v>75300</v>
      </c>
      <c r="AG30" s="126">
        <v>0</v>
      </c>
      <c r="AH30" s="231">
        <f>+Janvier!AJ30</f>
        <v>84811.691250000003</v>
      </c>
      <c r="AI30" s="231">
        <f>+Janvier!AK30</f>
        <v>294602.45192307694</v>
      </c>
      <c r="AJ30" s="231">
        <f>+Janvier!AL30</f>
        <v>196205.23298076927</v>
      </c>
      <c r="AK30" s="231">
        <f>+Janvier!AM30</f>
        <v>196205.23298076927</v>
      </c>
      <c r="AL30" s="231">
        <f>+Janvier!AN30</f>
        <v>123733.02980769234</v>
      </c>
      <c r="AM30" s="231">
        <f>+Janvier!AO30</f>
        <v>73650.612980769234</v>
      </c>
      <c r="AN30" s="231">
        <f>+Janvier!AP30</f>
        <v>147301.22596153847</v>
      </c>
      <c r="AO30" s="231">
        <f>+Janvier!AQ30</f>
        <v>73650.612980769234</v>
      </c>
      <c r="AP30" s="231">
        <f>+Janvier!AR30</f>
        <v>73650.612980769234</v>
      </c>
      <c r="AQ30" s="231">
        <f>+Janvier!AS30</f>
        <v>131665.70250000001</v>
      </c>
      <c r="AR30" s="90">
        <f>ROUND(E30/(AH30/15),0)</f>
        <v>5</v>
      </c>
      <c r="AS30" s="90">
        <f t="shared" ref="AS30" si="50">ROUND(H30/(AI30/15),0)</f>
        <v>6</v>
      </c>
      <c r="AT30" s="90">
        <f t="shared" ref="AT30" si="51">ROUND(K30/(AJ30/15),0)</f>
        <v>8</v>
      </c>
      <c r="AU30" s="90">
        <f t="shared" ref="AU30" si="52">ROUND(N30/(AK30/15),0)</f>
        <v>7</v>
      </c>
      <c r="AV30" s="90">
        <f t="shared" ref="AV30" si="53">ROUND(Q30/(AL30/15),0)</f>
        <v>5</v>
      </c>
      <c r="AW30" s="90">
        <f t="shared" ref="AW30" si="54">ROUND(T30/(AM30/15),0)</f>
        <v>9</v>
      </c>
      <c r="AX30" s="90">
        <f t="shared" ref="AX30" si="55">ROUND(W30/(AN30/15),0)</f>
        <v>8</v>
      </c>
      <c r="AY30" s="90">
        <f t="shared" ref="AY30" si="56">ROUND(Z30/(AO30/15),0)</f>
        <v>6</v>
      </c>
      <c r="AZ30" s="90">
        <f t="shared" ref="AZ30" si="57">ROUND(AC30/(AP30/15),0)</f>
        <v>3</v>
      </c>
      <c r="BA30" s="91">
        <f t="shared" ref="BA30" si="58">ROUND(AF30/(AQ30/15),0)</f>
        <v>9</v>
      </c>
    </row>
    <row r="31" spans="1:53" ht="15" thickBot="1" x14ac:dyDescent="0.35">
      <c r="A31" s="184" t="s">
        <v>35</v>
      </c>
      <c r="B31" s="160">
        <v>44075</v>
      </c>
      <c r="C31" s="94">
        <v>44104</v>
      </c>
      <c r="D31" s="106">
        <v>2000</v>
      </c>
      <c r="E31" s="106">
        <v>1880</v>
      </c>
      <c r="F31" s="97">
        <v>0</v>
      </c>
      <c r="G31" s="116">
        <v>7060</v>
      </c>
      <c r="H31" s="106">
        <v>6160</v>
      </c>
      <c r="I31" s="97">
        <v>0</v>
      </c>
      <c r="J31" s="236">
        <v>4180</v>
      </c>
      <c r="K31" s="106">
        <v>4900</v>
      </c>
      <c r="L31" s="97">
        <v>0</v>
      </c>
      <c r="M31" s="106">
        <v>4768</v>
      </c>
      <c r="N31" s="106">
        <v>5076</v>
      </c>
      <c r="O31" s="97">
        <v>0</v>
      </c>
      <c r="P31" s="106">
        <v>3613</v>
      </c>
      <c r="Q31" s="106">
        <v>3150</v>
      </c>
      <c r="R31" s="97">
        <v>0</v>
      </c>
      <c r="S31" s="106">
        <v>1720</v>
      </c>
      <c r="T31" s="106">
        <v>1690</v>
      </c>
      <c r="U31" s="97">
        <v>0</v>
      </c>
      <c r="V31" s="106">
        <v>4140</v>
      </c>
      <c r="W31" s="106">
        <v>3110</v>
      </c>
      <c r="X31" s="97">
        <v>0</v>
      </c>
      <c r="Y31" s="106">
        <v>1740</v>
      </c>
      <c r="Z31" s="106">
        <v>1810</v>
      </c>
      <c r="AA31" s="100">
        <v>0</v>
      </c>
      <c r="AB31" s="106">
        <v>1800</v>
      </c>
      <c r="AC31" s="106">
        <v>1880</v>
      </c>
      <c r="AD31" s="97">
        <v>0</v>
      </c>
      <c r="AE31" s="106">
        <v>3400</v>
      </c>
      <c r="AF31" s="106">
        <v>3300</v>
      </c>
      <c r="AG31" s="105">
        <v>0</v>
      </c>
      <c r="AH31" s="231">
        <f>+Janvier!AJ31</f>
        <v>2028.8324175824175</v>
      </c>
      <c r="AI31" s="231">
        <f>+Janvier!AK31</f>
        <v>6311.9230769230771</v>
      </c>
      <c r="AJ31" s="231">
        <f>+Janvier!AL31</f>
        <v>4733.9423076923076</v>
      </c>
      <c r="AK31" s="231">
        <f>+Janvier!AM31</f>
        <v>4733.9423076923076</v>
      </c>
      <c r="AL31" s="231">
        <f>+Janvier!AN31</f>
        <v>2869.0559440559441</v>
      </c>
      <c r="AM31" s="231">
        <f>+Janvier!AO31</f>
        <v>1775.2283653846155</v>
      </c>
      <c r="AN31" s="231">
        <f>+Janvier!AP31</f>
        <v>3550.4567307692309</v>
      </c>
      <c r="AO31" s="231">
        <f>+Janvier!AQ31</f>
        <v>1775.2283653846155</v>
      </c>
      <c r="AP31" s="231">
        <f>+Janvier!AR31</f>
        <v>1775.2283653846155</v>
      </c>
      <c r="AQ31" s="231">
        <f>+Janvier!AS31</f>
        <v>3155.9615384615386</v>
      </c>
      <c r="AR31" s="16">
        <f t="shared" ref="AR31:AR39" si="59">ROUND(E31/(AH31/5),0)</f>
        <v>5</v>
      </c>
      <c r="AS31" s="16">
        <f t="shared" ref="AS31:AS39" si="60">ROUND(H31/(AI31/5),0)</f>
        <v>5</v>
      </c>
      <c r="AT31" s="16">
        <f t="shared" ref="AT31:AT39" si="61">ROUND(K31/(AJ31/5),0)</f>
        <v>5</v>
      </c>
      <c r="AU31" s="16">
        <f t="shared" ref="AU31:AU39" si="62">ROUND(N31/(AK31/5),0)</f>
        <v>5</v>
      </c>
      <c r="AV31" s="16">
        <f t="shared" ref="AV31:AV39" si="63">ROUND(Q31/(AL31/5),0)</f>
        <v>5</v>
      </c>
      <c r="AW31" s="16">
        <f t="shared" ref="AW31:AW39" si="64">ROUND(T31/(AM31/5),0)</f>
        <v>5</v>
      </c>
      <c r="AX31" s="16">
        <f t="shared" ref="AX31:AX39" si="65">ROUND(W31/(AN31/5),0)</f>
        <v>4</v>
      </c>
      <c r="AY31" s="16">
        <f t="shared" ref="AY31:AY39" si="66">ROUND(Z31/(AO31/5),0)</f>
        <v>5</v>
      </c>
      <c r="AZ31" s="16">
        <f t="shared" ref="AZ31:AZ39" si="67">ROUND(AC31/(AP31/5),0)</f>
        <v>5</v>
      </c>
      <c r="BA31" s="17">
        <f t="shared" ref="BA31:BA39" si="68">ROUND(AF31/(AQ31/5),0)</f>
        <v>5</v>
      </c>
    </row>
    <row r="32" spans="1:53" ht="15" thickBot="1" x14ac:dyDescent="0.35">
      <c r="A32" s="184" t="s">
        <v>36</v>
      </c>
      <c r="B32" s="160">
        <v>44075</v>
      </c>
      <c r="C32" s="94">
        <v>44104</v>
      </c>
      <c r="D32" s="106">
        <v>1420</v>
      </c>
      <c r="E32" s="96">
        <v>500</v>
      </c>
      <c r="F32" s="97">
        <v>0</v>
      </c>
      <c r="G32" s="116">
        <v>3500</v>
      </c>
      <c r="H32" s="96">
        <v>1500</v>
      </c>
      <c r="I32" s="97">
        <v>0</v>
      </c>
      <c r="J32" s="236">
        <v>2800</v>
      </c>
      <c r="K32" s="96">
        <v>1200</v>
      </c>
      <c r="L32" s="97">
        <v>0</v>
      </c>
      <c r="M32" s="106">
        <v>2600</v>
      </c>
      <c r="N32" s="96">
        <v>1200</v>
      </c>
      <c r="O32" s="97">
        <v>0</v>
      </c>
      <c r="P32" s="106">
        <v>1050</v>
      </c>
      <c r="Q32" s="96">
        <v>750</v>
      </c>
      <c r="R32" s="97">
        <v>0</v>
      </c>
      <c r="S32" s="106">
        <v>1140</v>
      </c>
      <c r="T32" s="96">
        <v>450</v>
      </c>
      <c r="U32" s="97">
        <v>0</v>
      </c>
      <c r="V32" s="106">
        <v>2000</v>
      </c>
      <c r="W32" s="96">
        <v>900</v>
      </c>
      <c r="X32" s="97">
        <v>0</v>
      </c>
      <c r="Y32" s="106">
        <v>1200</v>
      </c>
      <c r="Z32" s="96">
        <v>450</v>
      </c>
      <c r="AA32" s="100">
        <v>0</v>
      </c>
      <c r="AB32" s="106">
        <v>1200</v>
      </c>
      <c r="AC32" s="96">
        <v>450</v>
      </c>
      <c r="AD32" s="97">
        <v>0</v>
      </c>
      <c r="AE32" s="106">
        <v>1200</v>
      </c>
      <c r="AF32" s="96">
        <v>750</v>
      </c>
      <c r="AG32" s="105">
        <v>0</v>
      </c>
      <c r="AH32" s="231">
        <f>+Janvier!AJ32</f>
        <v>431.0851648351649</v>
      </c>
      <c r="AI32" s="231">
        <f>+Janvier!AK32</f>
        <v>1341.1538461538464</v>
      </c>
      <c r="AJ32" s="231">
        <f>+Janvier!AL32</f>
        <v>1005.8653846153848</v>
      </c>
      <c r="AK32" s="231">
        <f>+Janvier!AM32</f>
        <v>1005.8653846153848</v>
      </c>
      <c r="AL32" s="231">
        <f>+Janvier!AN32</f>
        <v>609.61538461538464</v>
      </c>
      <c r="AM32" s="231">
        <f>+Janvier!AO32</f>
        <v>377.19951923076917</v>
      </c>
      <c r="AN32" s="231">
        <f>+Janvier!AP32</f>
        <v>754.39903846153834</v>
      </c>
      <c r="AO32" s="231">
        <f>+Janvier!AQ32</f>
        <v>377.19951923076917</v>
      </c>
      <c r="AP32" s="231">
        <f>+Janvier!AR32</f>
        <v>377.19951923076917</v>
      </c>
      <c r="AQ32" s="231">
        <f>+Janvier!AS32</f>
        <v>670.57692307692321</v>
      </c>
      <c r="AR32" s="16">
        <f t="shared" si="59"/>
        <v>6</v>
      </c>
      <c r="AS32" s="16">
        <f t="shared" si="60"/>
        <v>6</v>
      </c>
      <c r="AT32" s="16">
        <f t="shared" si="61"/>
        <v>6</v>
      </c>
      <c r="AU32" s="16">
        <f t="shared" si="62"/>
        <v>6</v>
      </c>
      <c r="AV32" s="16">
        <f t="shared" si="63"/>
        <v>6</v>
      </c>
      <c r="AW32" s="16">
        <f t="shared" si="64"/>
        <v>6</v>
      </c>
      <c r="AX32" s="16">
        <f t="shared" si="65"/>
        <v>6</v>
      </c>
      <c r="AY32" s="16">
        <f t="shared" si="66"/>
        <v>6</v>
      </c>
      <c r="AZ32" s="16">
        <f t="shared" si="67"/>
        <v>6</v>
      </c>
      <c r="BA32" s="17">
        <f t="shared" si="68"/>
        <v>6</v>
      </c>
    </row>
    <row r="33" spans="1:53" ht="15" thickBot="1" x14ac:dyDescent="0.35">
      <c r="A33" s="184" t="s">
        <v>37</v>
      </c>
      <c r="B33" s="160">
        <v>44075</v>
      </c>
      <c r="C33" s="94">
        <v>44104</v>
      </c>
      <c r="D33" s="106">
        <v>6660</v>
      </c>
      <c r="E33" s="106">
        <v>6000</v>
      </c>
      <c r="F33" s="97">
        <v>0</v>
      </c>
      <c r="G33" s="116">
        <v>16320</v>
      </c>
      <c r="H33" s="106">
        <v>16320</v>
      </c>
      <c r="I33" s="97">
        <v>0</v>
      </c>
      <c r="J33" s="236">
        <v>13090</v>
      </c>
      <c r="K33" s="106">
        <v>13090</v>
      </c>
      <c r="L33" s="97">
        <v>0</v>
      </c>
      <c r="M33" s="106">
        <v>12112</v>
      </c>
      <c r="N33" s="106">
        <v>12112</v>
      </c>
      <c r="O33" s="97">
        <v>0</v>
      </c>
      <c r="P33" s="106">
        <v>7895</v>
      </c>
      <c r="Q33" s="106">
        <v>7895</v>
      </c>
      <c r="R33" s="97">
        <v>0</v>
      </c>
      <c r="S33" s="106">
        <v>4060</v>
      </c>
      <c r="T33" s="106">
        <v>4060</v>
      </c>
      <c r="U33" s="97">
        <v>0</v>
      </c>
      <c r="V33" s="106">
        <v>9710</v>
      </c>
      <c r="W33" s="106">
        <v>9710</v>
      </c>
      <c r="X33" s="97">
        <v>0</v>
      </c>
      <c r="Y33" s="106">
        <v>4860</v>
      </c>
      <c r="Z33" s="106">
        <v>4860</v>
      </c>
      <c r="AA33" s="100">
        <v>0</v>
      </c>
      <c r="AB33" s="106">
        <v>4940</v>
      </c>
      <c r="AC33" s="106">
        <v>4940</v>
      </c>
      <c r="AD33" s="97">
        <v>0</v>
      </c>
      <c r="AE33" s="106">
        <v>9300</v>
      </c>
      <c r="AF33" s="106">
        <v>9300</v>
      </c>
      <c r="AG33" s="105">
        <v>0</v>
      </c>
      <c r="AH33" s="231">
        <f>+Janvier!AJ33</f>
        <v>5199.2307692307695</v>
      </c>
      <c r="AI33" s="231">
        <f>+Janvier!AK33</f>
        <v>16175.384615384613</v>
      </c>
      <c r="AJ33" s="231">
        <f>+Janvier!AL33</f>
        <v>12131.538461538461</v>
      </c>
      <c r="AK33" s="231">
        <f>+Janvier!AM33</f>
        <v>12131.538461538461</v>
      </c>
      <c r="AL33" s="231">
        <f>+Janvier!AN33</f>
        <v>7352.4475524475547</v>
      </c>
      <c r="AM33" s="231">
        <f>+Janvier!AO33</f>
        <v>4549.3269230769229</v>
      </c>
      <c r="AN33" s="231">
        <f>+Janvier!AP33</f>
        <v>9098.6538461538457</v>
      </c>
      <c r="AO33" s="231">
        <f>+Janvier!AQ33</f>
        <v>4549.3269230769229</v>
      </c>
      <c r="AP33" s="231">
        <f>+Janvier!AR33</f>
        <v>4549.3269230769229</v>
      </c>
      <c r="AQ33" s="231">
        <f>+Janvier!AS33</f>
        <v>8087.6923076923067</v>
      </c>
      <c r="AR33" s="16">
        <f t="shared" si="59"/>
        <v>6</v>
      </c>
      <c r="AS33" s="16">
        <f t="shared" si="60"/>
        <v>5</v>
      </c>
      <c r="AT33" s="16">
        <f t="shared" si="61"/>
        <v>5</v>
      </c>
      <c r="AU33" s="16">
        <f t="shared" si="62"/>
        <v>5</v>
      </c>
      <c r="AV33" s="16">
        <f t="shared" si="63"/>
        <v>5</v>
      </c>
      <c r="AW33" s="16">
        <f t="shared" si="64"/>
        <v>4</v>
      </c>
      <c r="AX33" s="16">
        <f t="shared" si="65"/>
        <v>5</v>
      </c>
      <c r="AY33" s="16">
        <f t="shared" si="66"/>
        <v>5</v>
      </c>
      <c r="AZ33" s="16">
        <f t="shared" si="67"/>
        <v>5</v>
      </c>
      <c r="BA33" s="17">
        <f t="shared" si="68"/>
        <v>6</v>
      </c>
    </row>
    <row r="34" spans="1:53" ht="15" thickBot="1" x14ac:dyDescent="0.35">
      <c r="A34" s="184" t="s">
        <v>38</v>
      </c>
      <c r="B34" s="160">
        <v>44075</v>
      </c>
      <c r="C34" s="94">
        <v>44104</v>
      </c>
      <c r="D34" s="106">
        <v>1360</v>
      </c>
      <c r="E34" s="106">
        <v>1160</v>
      </c>
      <c r="F34" s="97">
        <v>0</v>
      </c>
      <c r="G34" s="116">
        <v>3800</v>
      </c>
      <c r="H34" s="106">
        <v>3680</v>
      </c>
      <c r="I34" s="97">
        <v>0</v>
      </c>
      <c r="J34" s="236">
        <v>2600</v>
      </c>
      <c r="K34" s="106">
        <v>2600</v>
      </c>
      <c r="L34" s="97">
        <v>0</v>
      </c>
      <c r="M34" s="106">
        <v>2708</v>
      </c>
      <c r="N34" s="106">
        <v>2708</v>
      </c>
      <c r="O34" s="97">
        <v>0</v>
      </c>
      <c r="P34" s="106">
        <v>1900</v>
      </c>
      <c r="Q34" s="106">
        <v>1756</v>
      </c>
      <c r="R34" s="97">
        <v>0</v>
      </c>
      <c r="S34" s="106">
        <v>1450</v>
      </c>
      <c r="T34" s="106">
        <v>1300</v>
      </c>
      <c r="U34" s="97">
        <v>0</v>
      </c>
      <c r="V34" s="106">
        <v>1610</v>
      </c>
      <c r="W34" s="106">
        <v>1590</v>
      </c>
      <c r="X34" s="97">
        <v>0</v>
      </c>
      <c r="Y34" s="106">
        <v>1520</v>
      </c>
      <c r="Z34" s="106">
        <v>1000</v>
      </c>
      <c r="AA34" s="100">
        <v>0</v>
      </c>
      <c r="AB34" s="106">
        <v>1450</v>
      </c>
      <c r="AC34" s="106">
        <v>1230</v>
      </c>
      <c r="AD34" s="97">
        <v>0</v>
      </c>
      <c r="AE34" s="106">
        <v>1950</v>
      </c>
      <c r="AF34" s="106">
        <v>1870</v>
      </c>
      <c r="AG34" s="105">
        <v>0</v>
      </c>
      <c r="AH34" s="231">
        <f>+Janvier!AJ34</f>
        <v>1323.9148351648353</v>
      </c>
      <c r="AI34" s="231">
        <f>+Janvier!AK34</f>
        <v>4118.8461538461534</v>
      </c>
      <c r="AJ34" s="231">
        <f>+Janvier!AL34</f>
        <v>3089.1346153846152</v>
      </c>
      <c r="AK34" s="231">
        <f>+Janvier!AM34</f>
        <v>3089.1346153846152</v>
      </c>
      <c r="AL34" s="231">
        <f>+Janvier!AN34</f>
        <v>1872.2027972027972</v>
      </c>
      <c r="AM34" s="231">
        <f>+Janvier!AO34</f>
        <v>1158.4254807692307</v>
      </c>
      <c r="AN34" s="231">
        <f>+Janvier!AP34</f>
        <v>2316.8509615384614</v>
      </c>
      <c r="AO34" s="231">
        <f>+Janvier!AQ34</f>
        <v>1158.4254807692307</v>
      </c>
      <c r="AP34" s="231">
        <f>+Janvier!AR34</f>
        <v>1158.4254807692307</v>
      </c>
      <c r="AQ34" s="231">
        <f>+Janvier!AS34</f>
        <v>2059.4230769230767</v>
      </c>
      <c r="AR34" s="16">
        <f t="shared" si="59"/>
        <v>4</v>
      </c>
      <c r="AS34" s="16">
        <f t="shared" si="60"/>
        <v>4</v>
      </c>
      <c r="AT34" s="16">
        <f t="shared" si="61"/>
        <v>4</v>
      </c>
      <c r="AU34" s="16">
        <f t="shared" si="62"/>
        <v>4</v>
      </c>
      <c r="AV34" s="16">
        <f t="shared" si="63"/>
        <v>5</v>
      </c>
      <c r="AW34" s="16">
        <f t="shared" si="64"/>
        <v>6</v>
      </c>
      <c r="AX34" s="16">
        <f t="shared" si="65"/>
        <v>3</v>
      </c>
      <c r="AY34" s="16">
        <f t="shared" si="66"/>
        <v>4</v>
      </c>
      <c r="AZ34" s="16">
        <f t="shared" si="67"/>
        <v>5</v>
      </c>
      <c r="BA34" s="17">
        <f t="shared" si="68"/>
        <v>5</v>
      </c>
    </row>
    <row r="35" spans="1:53" ht="15" thickBot="1" x14ac:dyDescent="0.35">
      <c r="A35" s="184" t="s">
        <v>39</v>
      </c>
      <c r="B35" s="160">
        <v>44075</v>
      </c>
      <c r="C35" s="94">
        <v>44104</v>
      </c>
      <c r="D35" s="106">
        <v>8500</v>
      </c>
      <c r="E35" s="106">
        <v>4440</v>
      </c>
      <c r="F35" s="97">
        <v>0</v>
      </c>
      <c r="G35" s="116">
        <v>22140</v>
      </c>
      <c r="H35" s="106">
        <v>12000</v>
      </c>
      <c r="I35" s="97">
        <v>0</v>
      </c>
      <c r="J35" s="236">
        <v>17690</v>
      </c>
      <c r="K35" s="106">
        <v>8480</v>
      </c>
      <c r="L35" s="97">
        <v>0</v>
      </c>
      <c r="M35" s="106">
        <v>16244</v>
      </c>
      <c r="N35" s="106">
        <v>8309</v>
      </c>
      <c r="O35" s="97">
        <v>0</v>
      </c>
      <c r="P35" s="106">
        <v>11561</v>
      </c>
      <c r="Q35" s="106">
        <v>7149</v>
      </c>
      <c r="R35" s="97">
        <v>0</v>
      </c>
      <c r="S35" s="106">
        <v>5625</v>
      </c>
      <c r="T35" s="106">
        <v>4240</v>
      </c>
      <c r="U35" s="97">
        <v>0</v>
      </c>
      <c r="V35" s="106">
        <v>13040</v>
      </c>
      <c r="W35" s="106">
        <v>9540</v>
      </c>
      <c r="X35" s="97">
        <v>0</v>
      </c>
      <c r="Y35" s="106">
        <v>7020</v>
      </c>
      <c r="Z35" s="106">
        <v>3500</v>
      </c>
      <c r="AA35" s="100">
        <v>0</v>
      </c>
      <c r="AB35" s="106">
        <v>7600</v>
      </c>
      <c r="AC35" s="106">
        <v>3880</v>
      </c>
      <c r="AD35" s="97">
        <v>0</v>
      </c>
      <c r="AE35" s="106">
        <v>11060</v>
      </c>
      <c r="AF35" s="106">
        <v>8700</v>
      </c>
      <c r="AG35" s="105">
        <v>0</v>
      </c>
      <c r="AH35" s="231">
        <f>+Janvier!AJ35</f>
        <v>4319.1346153846152</v>
      </c>
      <c r="AI35" s="231">
        <f>+Janvier!AK35</f>
        <v>13437.307692307693</v>
      </c>
      <c r="AJ35" s="231">
        <f>+Janvier!AL35</f>
        <v>10077.98076923077</v>
      </c>
      <c r="AK35" s="231">
        <f>+Janvier!AM35</f>
        <v>10077.98076923077</v>
      </c>
      <c r="AL35" s="231">
        <f>+Janvier!AN35</f>
        <v>6107.8671328671326</v>
      </c>
      <c r="AM35" s="231">
        <f>+Janvier!AO35</f>
        <v>3779.2427884615386</v>
      </c>
      <c r="AN35" s="231">
        <f>+Janvier!AP35</f>
        <v>7558.4855769230771</v>
      </c>
      <c r="AO35" s="231">
        <f>+Janvier!AQ35</f>
        <v>3779.2427884615386</v>
      </c>
      <c r="AP35" s="231">
        <f>+Janvier!AR35</f>
        <v>3779.2427884615386</v>
      </c>
      <c r="AQ35" s="231">
        <f>+Janvier!AS35</f>
        <v>6718.6538461538466</v>
      </c>
      <c r="AR35" s="16">
        <f t="shared" si="59"/>
        <v>5</v>
      </c>
      <c r="AS35" s="16">
        <f t="shared" si="60"/>
        <v>4</v>
      </c>
      <c r="AT35" s="16">
        <f t="shared" si="61"/>
        <v>4</v>
      </c>
      <c r="AU35" s="16">
        <f t="shared" si="62"/>
        <v>4</v>
      </c>
      <c r="AV35" s="16">
        <f t="shared" si="63"/>
        <v>6</v>
      </c>
      <c r="AW35" s="16">
        <f t="shared" si="64"/>
        <v>6</v>
      </c>
      <c r="AX35" s="16">
        <f t="shared" si="65"/>
        <v>6</v>
      </c>
      <c r="AY35" s="16">
        <f t="shared" si="66"/>
        <v>5</v>
      </c>
      <c r="AZ35" s="16">
        <f t="shared" si="67"/>
        <v>5</v>
      </c>
      <c r="BA35" s="17">
        <f t="shared" si="68"/>
        <v>6</v>
      </c>
    </row>
    <row r="36" spans="1:53" ht="15" thickBot="1" x14ac:dyDescent="0.35">
      <c r="A36" s="184" t="s">
        <v>40</v>
      </c>
      <c r="B36" s="160">
        <v>44075</v>
      </c>
      <c r="C36" s="94">
        <v>44104</v>
      </c>
      <c r="D36" s="106">
        <v>7020</v>
      </c>
      <c r="E36" s="106">
        <v>3740</v>
      </c>
      <c r="F36" s="97">
        <v>0</v>
      </c>
      <c r="G36" s="116">
        <v>20600</v>
      </c>
      <c r="H36" s="106">
        <v>10500</v>
      </c>
      <c r="I36" s="97">
        <v>0</v>
      </c>
      <c r="J36" s="236">
        <v>15510</v>
      </c>
      <c r="K36" s="106">
        <v>8430</v>
      </c>
      <c r="L36" s="97">
        <v>0</v>
      </c>
      <c r="M36" s="106">
        <v>15820</v>
      </c>
      <c r="N36" s="106">
        <v>8464</v>
      </c>
      <c r="O36" s="97">
        <v>0</v>
      </c>
      <c r="P36" s="106">
        <v>9650</v>
      </c>
      <c r="Q36" s="106">
        <v>5400</v>
      </c>
      <c r="R36" s="97">
        <v>0</v>
      </c>
      <c r="S36" s="106">
        <v>5390</v>
      </c>
      <c r="T36" s="106">
        <v>2740</v>
      </c>
      <c r="U36" s="97">
        <v>0</v>
      </c>
      <c r="V36" s="106">
        <v>12520</v>
      </c>
      <c r="W36" s="106">
        <v>6590</v>
      </c>
      <c r="X36" s="97">
        <v>0</v>
      </c>
      <c r="Y36" s="106">
        <v>6230</v>
      </c>
      <c r="Z36" s="106">
        <v>3200</v>
      </c>
      <c r="AA36" s="100">
        <v>0</v>
      </c>
      <c r="AB36" s="106">
        <v>6700</v>
      </c>
      <c r="AC36" s="106">
        <v>3400</v>
      </c>
      <c r="AD36" s="97">
        <v>0</v>
      </c>
      <c r="AE36" s="106">
        <v>10540</v>
      </c>
      <c r="AF36" s="106">
        <v>5770</v>
      </c>
      <c r="AG36" s="105">
        <v>0</v>
      </c>
      <c r="AH36" s="231">
        <f>+Janvier!AJ36</f>
        <v>3701.7445054945065</v>
      </c>
      <c r="AI36" s="231">
        <f>+Janvier!AK36</f>
        <v>11516.538461538461</v>
      </c>
      <c r="AJ36" s="231">
        <f>+Janvier!AL36</f>
        <v>8637.4038461538476</v>
      </c>
      <c r="AK36" s="231">
        <f>+Janvier!AM36</f>
        <v>8637.4038461538476</v>
      </c>
      <c r="AL36" s="231">
        <f>+Janvier!AN36</f>
        <v>5234.7902097902097</v>
      </c>
      <c r="AM36" s="231">
        <f>+Janvier!AO36</f>
        <v>3239.0264423076924</v>
      </c>
      <c r="AN36" s="231">
        <f>+Janvier!AP36</f>
        <v>6478.0528846153848</v>
      </c>
      <c r="AO36" s="231">
        <f>+Janvier!AQ36</f>
        <v>3239.0264423076924</v>
      </c>
      <c r="AP36" s="231">
        <f>+Janvier!AR36</f>
        <v>3239.0264423076924</v>
      </c>
      <c r="AQ36" s="231">
        <f>+Janvier!AS36</f>
        <v>5758.2692307692305</v>
      </c>
      <c r="AR36" s="16">
        <f t="shared" si="59"/>
        <v>5</v>
      </c>
      <c r="AS36" s="16">
        <f t="shared" si="60"/>
        <v>5</v>
      </c>
      <c r="AT36" s="16">
        <f t="shared" si="61"/>
        <v>5</v>
      </c>
      <c r="AU36" s="16">
        <f t="shared" si="62"/>
        <v>5</v>
      </c>
      <c r="AV36" s="16">
        <f t="shared" si="63"/>
        <v>5</v>
      </c>
      <c r="AW36" s="16">
        <f t="shared" si="64"/>
        <v>4</v>
      </c>
      <c r="AX36" s="16">
        <f t="shared" si="65"/>
        <v>5</v>
      </c>
      <c r="AY36" s="16">
        <f t="shared" si="66"/>
        <v>5</v>
      </c>
      <c r="AZ36" s="16">
        <f t="shared" si="67"/>
        <v>5</v>
      </c>
      <c r="BA36" s="17">
        <f t="shared" si="68"/>
        <v>5</v>
      </c>
    </row>
    <row r="37" spans="1:53" ht="15" thickBot="1" x14ac:dyDescent="0.35">
      <c r="A37" s="184" t="s">
        <v>41</v>
      </c>
      <c r="B37" s="160">
        <v>44075</v>
      </c>
      <c r="C37" s="94">
        <v>44104</v>
      </c>
      <c r="D37" s="106">
        <v>3500</v>
      </c>
      <c r="E37" s="106">
        <v>3440</v>
      </c>
      <c r="F37" s="97">
        <v>0</v>
      </c>
      <c r="G37" s="116">
        <v>7700</v>
      </c>
      <c r="H37" s="106">
        <v>7640</v>
      </c>
      <c r="I37" s="97">
        <v>0</v>
      </c>
      <c r="J37" s="236">
        <v>5700</v>
      </c>
      <c r="K37" s="106">
        <v>5620</v>
      </c>
      <c r="L37" s="97">
        <v>0</v>
      </c>
      <c r="M37" s="106">
        <v>5200</v>
      </c>
      <c r="N37" s="106">
        <v>4304</v>
      </c>
      <c r="O37" s="97">
        <v>0</v>
      </c>
      <c r="P37" s="106">
        <v>3600</v>
      </c>
      <c r="Q37" s="106">
        <v>3300</v>
      </c>
      <c r="R37" s="97">
        <v>0</v>
      </c>
      <c r="S37" s="106">
        <v>2700</v>
      </c>
      <c r="T37" s="106">
        <v>1450</v>
      </c>
      <c r="U37" s="97">
        <v>0</v>
      </c>
      <c r="V37" s="106">
        <v>4650</v>
      </c>
      <c r="W37" s="106">
        <v>4610</v>
      </c>
      <c r="X37" s="97">
        <v>0</v>
      </c>
      <c r="Y37" s="106">
        <v>2500</v>
      </c>
      <c r="Z37" s="106">
        <v>2240</v>
      </c>
      <c r="AA37" s="100">
        <v>0</v>
      </c>
      <c r="AB37" s="106">
        <v>2300</v>
      </c>
      <c r="AC37" s="106">
        <v>2180</v>
      </c>
      <c r="AD37" s="97">
        <v>0</v>
      </c>
      <c r="AE37" s="106">
        <v>3830</v>
      </c>
      <c r="AF37" s="106">
        <v>3640</v>
      </c>
      <c r="AG37" s="105">
        <v>0</v>
      </c>
      <c r="AH37" s="231">
        <f>+Janvier!AJ37</f>
        <v>2204.0109890109893</v>
      </c>
      <c r="AI37" s="231">
        <f>+Janvier!AK37</f>
        <v>6856.9230769230771</v>
      </c>
      <c r="AJ37" s="231">
        <f>+Janvier!AL37</f>
        <v>5142.6923076923085</v>
      </c>
      <c r="AK37" s="231">
        <f>+Janvier!AM37</f>
        <v>5142.6923076923085</v>
      </c>
      <c r="AL37" s="231">
        <f>+Janvier!AN37</f>
        <v>3116.7832167832171</v>
      </c>
      <c r="AM37" s="231">
        <f>+Janvier!AO37</f>
        <v>1928.5096153846155</v>
      </c>
      <c r="AN37" s="231">
        <f>+Janvier!AP37</f>
        <v>3857.0192307692309</v>
      </c>
      <c r="AO37" s="231">
        <f>+Janvier!AQ37</f>
        <v>1928.5096153846155</v>
      </c>
      <c r="AP37" s="231">
        <f>+Janvier!AR37</f>
        <v>1928.5096153846155</v>
      </c>
      <c r="AQ37" s="231">
        <f>+Janvier!AS37</f>
        <v>3428.4615384615386</v>
      </c>
      <c r="AR37" s="16">
        <f t="shared" si="59"/>
        <v>8</v>
      </c>
      <c r="AS37" s="16">
        <f t="shared" si="60"/>
        <v>6</v>
      </c>
      <c r="AT37" s="16">
        <f t="shared" si="61"/>
        <v>5</v>
      </c>
      <c r="AU37" s="16">
        <f t="shared" si="62"/>
        <v>4</v>
      </c>
      <c r="AV37" s="16">
        <f t="shared" si="63"/>
        <v>5</v>
      </c>
      <c r="AW37" s="16">
        <f t="shared" si="64"/>
        <v>4</v>
      </c>
      <c r="AX37" s="16">
        <f t="shared" si="65"/>
        <v>6</v>
      </c>
      <c r="AY37" s="16">
        <f t="shared" si="66"/>
        <v>6</v>
      </c>
      <c r="AZ37" s="16">
        <f t="shared" si="67"/>
        <v>6</v>
      </c>
      <c r="BA37" s="17">
        <f t="shared" si="68"/>
        <v>5</v>
      </c>
    </row>
    <row r="38" spans="1:53" ht="15" thickBot="1" x14ac:dyDescent="0.35">
      <c r="A38" s="184" t="s">
        <v>42</v>
      </c>
      <c r="B38" s="160">
        <v>44075</v>
      </c>
      <c r="C38" s="94">
        <v>44104</v>
      </c>
      <c r="D38" s="106">
        <v>8500</v>
      </c>
      <c r="E38" s="106">
        <v>5000</v>
      </c>
      <c r="F38" s="97">
        <v>0</v>
      </c>
      <c r="G38" s="116">
        <v>15000</v>
      </c>
      <c r="H38" s="106">
        <v>14000</v>
      </c>
      <c r="I38" s="97">
        <v>0</v>
      </c>
      <c r="J38" s="236">
        <v>12750</v>
      </c>
      <c r="K38" s="106">
        <v>11500</v>
      </c>
      <c r="L38" s="97">
        <v>0</v>
      </c>
      <c r="M38" s="106">
        <v>13000</v>
      </c>
      <c r="N38" s="106">
        <v>11616</v>
      </c>
      <c r="O38" s="97">
        <v>0</v>
      </c>
      <c r="P38" s="106">
        <v>9500</v>
      </c>
      <c r="Q38" s="106">
        <v>7750</v>
      </c>
      <c r="R38" s="97">
        <v>0</v>
      </c>
      <c r="S38" s="106">
        <v>6500</v>
      </c>
      <c r="T38" s="106">
        <v>4970</v>
      </c>
      <c r="U38" s="97">
        <v>0</v>
      </c>
      <c r="V38" s="106">
        <v>9000</v>
      </c>
      <c r="W38" s="106">
        <v>8520</v>
      </c>
      <c r="X38" s="97">
        <v>0</v>
      </c>
      <c r="Y38" s="106">
        <v>7440</v>
      </c>
      <c r="Z38" s="106">
        <v>5000</v>
      </c>
      <c r="AA38" s="100">
        <v>0</v>
      </c>
      <c r="AB38" s="106">
        <v>7110</v>
      </c>
      <c r="AC38" s="106">
        <v>5000</v>
      </c>
      <c r="AD38" s="97">
        <v>0</v>
      </c>
      <c r="AE38" s="106">
        <v>7500</v>
      </c>
      <c r="AF38" s="106">
        <v>6870</v>
      </c>
      <c r="AG38" s="105">
        <v>0</v>
      </c>
      <c r="AH38" s="231">
        <f>+Janvier!AJ38</f>
        <v>4595.1923076923076</v>
      </c>
      <c r="AI38" s="231">
        <f>+Janvier!AK38</f>
        <v>14296.153846153846</v>
      </c>
      <c r="AJ38" s="231">
        <f>+Janvier!AL38</f>
        <v>10722.115384615387</v>
      </c>
      <c r="AK38" s="231">
        <f>+Janvier!AM38</f>
        <v>10722.115384615387</v>
      </c>
      <c r="AL38" s="231">
        <f>+Janvier!AN38</f>
        <v>6498.2517482517496</v>
      </c>
      <c r="AM38" s="231">
        <f>+Janvier!AO38</f>
        <v>4020.7932692307691</v>
      </c>
      <c r="AN38" s="231">
        <f>+Janvier!AP38</f>
        <v>8041.5865384615381</v>
      </c>
      <c r="AO38" s="231">
        <f>+Janvier!AQ38</f>
        <v>4020.7932692307691</v>
      </c>
      <c r="AP38" s="231">
        <f>+Janvier!AR38</f>
        <v>4020.7932692307691</v>
      </c>
      <c r="AQ38" s="231">
        <f>+Janvier!AS38</f>
        <v>7148.0769230769229</v>
      </c>
      <c r="AR38" s="16">
        <f t="shared" si="59"/>
        <v>5</v>
      </c>
      <c r="AS38" s="16">
        <f t="shared" si="60"/>
        <v>5</v>
      </c>
      <c r="AT38" s="16">
        <f t="shared" si="61"/>
        <v>5</v>
      </c>
      <c r="AU38" s="16">
        <f t="shared" si="62"/>
        <v>5</v>
      </c>
      <c r="AV38" s="16">
        <f t="shared" si="63"/>
        <v>6</v>
      </c>
      <c r="AW38" s="16">
        <f t="shared" si="64"/>
        <v>6</v>
      </c>
      <c r="AX38" s="16">
        <f t="shared" si="65"/>
        <v>5</v>
      </c>
      <c r="AY38" s="16">
        <f t="shared" si="66"/>
        <v>6</v>
      </c>
      <c r="AZ38" s="16">
        <f t="shared" si="67"/>
        <v>6</v>
      </c>
      <c r="BA38" s="17">
        <f t="shared" si="68"/>
        <v>5</v>
      </c>
    </row>
    <row r="39" spans="1:53" ht="15" thickBot="1" x14ac:dyDescent="0.35">
      <c r="A39" s="121" t="s">
        <v>43</v>
      </c>
      <c r="B39" s="160">
        <v>44075</v>
      </c>
      <c r="C39" s="143">
        <v>44104</v>
      </c>
      <c r="D39" s="145">
        <v>4320</v>
      </c>
      <c r="E39" s="145">
        <v>4320</v>
      </c>
      <c r="F39" s="110">
        <v>0</v>
      </c>
      <c r="G39" s="147">
        <v>13000</v>
      </c>
      <c r="H39" s="145">
        <v>13000</v>
      </c>
      <c r="I39" s="110">
        <v>0</v>
      </c>
      <c r="J39" s="238">
        <v>9100</v>
      </c>
      <c r="K39" s="145">
        <v>6400</v>
      </c>
      <c r="L39" s="110">
        <v>0</v>
      </c>
      <c r="M39" s="145">
        <v>9856</v>
      </c>
      <c r="N39" s="145">
        <v>9856</v>
      </c>
      <c r="O39" s="110">
        <v>0</v>
      </c>
      <c r="P39" s="145">
        <v>6300</v>
      </c>
      <c r="Q39" s="145">
        <v>6300</v>
      </c>
      <c r="R39" s="110">
        <v>0</v>
      </c>
      <c r="S39" s="145">
        <v>3440</v>
      </c>
      <c r="T39" s="145">
        <v>3440</v>
      </c>
      <c r="U39" s="110">
        <v>0</v>
      </c>
      <c r="V39" s="145">
        <v>7820</v>
      </c>
      <c r="W39" s="145">
        <v>7820</v>
      </c>
      <c r="X39" s="110">
        <v>0</v>
      </c>
      <c r="Y39" s="145">
        <v>4050</v>
      </c>
      <c r="Z39" s="145">
        <v>4050</v>
      </c>
      <c r="AA39" s="162">
        <v>0</v>
      </c>
      <c r="AB39" s="145">
        <v>4000</v>
      </c>
      <c r="AC39" s="145">
        <v>3950</v>
      </c>
      <c r="AD39" s="110">
        <v>0</v>
      </c>
      <c r="AE39" s="145">
        <v>4100</v>
      </c>
      <c r="AF39" s="145">
        <v>4100</v>
      </c>
      <c r="AG39" s="112">
        <v>0</v>
      </c>
      <c r="AH39" s="231">
        <f>+Janvier!AJ39</f>
        <v>4254.2307692307695</v>
      </c>
      <c r="AI39" s="231">
        <f>+Janvier!AK39</f>
        <v>13235.384615384613</v>
      </c>
      <c r="AJ39" s="231">
        <f>+Janvier!AL39</f>
        <v>9926.538461538461</v>
      </c>
      <c r="AK39" s="231">
        <f>+Janvier!AM39</f>
        <v>9926.538461538461</v>
      </c>
      <c r="AL39" s="231">
        <f>+Janvier!AN39</f>
        <v>6016.0839160839159</v>
      </c>
      <c r="AM39" s="231">
        <f>+Janvier!AO39</f>
        <v>3722.4519230769233</v>
      </c>
      <c r="AN39" s="231">
        <f>+Janvier!AP39</f>
        <v>7444.9038461538466</v>
      </c>
      <c r="AO39" s="231">
        <f>+Janvier!AQ39</f>
        <v>3722.4519230769233</v>
      </c>
      <c r="AP39" s="231">
        <f>+Janvier!AR39</f>
        <v>3722.4519230769233</v>
      </c>
      <c r="AQ39" s="231">
        <f>+Janvier!AS39</f>
        <v>6617.6923076923067</v>
      </c>
      <c r="AR39" s="32">
        <f t="shared" si="59"/>
        <v>5</v>
      </c>
      <c r="AS39" s="32">
        <f t="shared" si="60"/>
        <v>5</v>
      </c>
      <c r="AT39" s="32">
        <f t="shared" si="61"/>
        <v>3</v>
      </c>
      <c r="AU39" s="32">
        <f t="shared" si="62"/>
        <v>5</v>
      </c>
      <c r="AV39" s="32">
        <f t="shared" si="63"/>
        <v>5</v>
      </c>
      <c r="AW39" s="32">
        <f t="shared" si="64"/>
        <v>5</v>
      </c>
      <c r="AX39" s="32">
        <f t="shared" si="65"/>
        <v>5</v>
      </c>
      <c r="AY39" s="32">
        <f t="shared" si="66"/>
        <v>5</v>
      </c>
      <c r="AZ39" s="32">
        <f t="shared" si="67"/>
        <v>5</v>
      </c>
      <c r="BA39" s="33">
        <f t="shared" si="68"/>
        <v>3</v>
      </c>
    </row>
    <row r="40" spans="1:53" ht="15.6" x14ac:dyDescent="0.3">
      <c r="A40" s="198" t="s">
        <v>88</v>
      </c>
      <c r="B40" s="160">
        <v>44075</v>
      </c>
      <c r="C40" s="160">
        <v>44104</v>
      </c>
      <c r="D40" s="122">
        <v>61000</v>
      </c>
      <c r="E40" s="123">
        <v>20970</v>
      </c>
      <c r="F40" s="124">
        <v>0</v>
      </c>
      <c r="G40" s="125">
        <v>120000</v>
      </c>
      <c r="H40" s="123">
        <v>78710</v>
      </c>
      <c r="I40" s="126">
        <v>0</v>
      </c>
      <c r="J40" s="125">
        <v>131700</v>
      </c>
      <c r="K40" s="123">
        <v>53390</v>
      </c>
      <c r="L40" s="124">
        <v>0</v>
      </c>
      <c r="M40" s="125">
        <v>155600</v>
      </c>
      <c r="N40" s="123">
        <v>70987</v>
      </c>
      <c r="O40" s="124"/>
      <c r="P40" s="125">
        <v>80150</v>
      </c>
      <c r="Q40" s="123">
        <v>28738</v>
      </c>
      <c r="R40" s="124"/>
      <c r="S40" s="125">
        <v>51000</v>
      </c>
      <c r="T40" s="123">
        <v>24550</v>
      </c>
      <c r="U40" s="124">
        <v>0</v>
      </c>
      <c r="V40" s="125">
        <v>67000</v>
      </c>
      <c r="W40" s="123">
        <v>50660</v>
      </c>
      <c r="X40" s="124">
        <v>0</v>
      </c>
      <c r="Y40" s="125">
        <v>37000</v>
      </c>
      <c r="Z40" s="123">
        <v>19530</v>
      </c>
      <c r="AA40" s="124">
        <v>0</v>
      </c>
      <c r="AB40" s="125">
        <v>40000</v>
      </c>
      <c r="AC40" s="123">
        <v>19410</v>
      </c>
      <c r="AD40" s="124">
        <v>0</v>
      </c>
      <c r="AE40" s="125">
        <v>78100</v>
      </c>
      <c r="AF40" s="123">
        <v>39880</v>
      </c>
      <c r="AG40" s="126">
        <v>0</v>
      </c>
      <c r="AH40" s="231">
        <f>+Janvier!AJ40</f>
        <v>69601.949999999983</v>
      </c>
      <c r="AI40" s="231">
        <f>+Janvier!AK40</f>
        <v>241304.71153846153</v>
      </c>
      <c r="AJ40" s="231">
        <f>+Janvier!AL40</f>
        <v>160708.93788461541</v>
      </c>
      <c r="AK40" s="231">
        <f>+Janvier!AM40</f>
        <v>160708.93788461541</v>
      </c>
      <c r="AL40" s="231">
        <f>+Janvier!AN40</f>
        <v>101347.97884615386</v>
      </c>
      <c r="AM40" s="231">
        <f>+Janvier!AO40</f>
        <v>60326.177884615383</v>
      </c>
      <c r="AN40" s="231">
        <f>+Janvier!AP40</f>
        <v>120652.35576923077</v>
      </c>
      <c r="AO40" s="231">
        <f>+Janvier!AQ40</f>
        <v>60326.177884615383</v>
      </c>
      <c r="AP40" s="231">
        <f>+Janvier!AR40</f>
        <v>60326.177884615383</v>
      </c>
      <c r="AQ40" s="231">
        <f>+Janvier!AS40</f>
        <v>108053.37692307694</v>
      </c>
      <c r="AR40" s="16">
        <f>ROUND(E40/(AH40/15),0)</f>
        <v>5</v>
      </c>
      <c r="AS40" s="16">
        <f t="shared" ref="AS40" si="69">ROUND(H40/(AI40/15),0)</f>
        <v>5</v>
      </c>
      <c r="AT40" s="16">
        <f t="shared" ref="AT40" si="70">ROUND(K40/(AJ40/15),0)</f>
        <v>5</v>
      </c>
      <c r="AU40" s="16">
        <f t="shared" ref="AU40" si="71">ROUND(N40/(AK40/15),0)</f>
        <v>7</v>
      </c>
      <c r="AV40" s="16">
        <f t="shared" ref="AV40" si="72">ROUND(Q40/(AL40/15),0)</f>
        <v>4</v>
      </c>
      <c r="AW40" s="16">
        <f t="shared" ref="AW40" si="73">ROUND(T40/(AM40/15),0)</f>
        <v>6</v>
      </c>
      <c r="AX40" s="16">
        <f t="shared" ref="AX40" si="74">ROUND(W40/(AN40/15),0)</f>
        <v>6</v>
      </c>
      <c r="AY40" s="16">
        <f t="shared" ref="AY40" si="75">ROUND(Z40/(AO40/15),0)</f>
        <v>5</v>
      </c>
      <c r="AZ40" s="16">
        <f t="shared" ref="AZ40" si="76">ROUND(AC40/(AP40/15),0)</f>
        <v>5</v>
      </c>
      <c r="BA40" s="17">
        <f t="shared" ref="BA40" si="77">ROUND(AF40/(AQ40/15),0)</f>
        <v>6</v>
      </c>
    </row>
    <row r="41" spans="1:53" ht="15.6" x14ac:dyDescent="0.3">
      <c r="A41" s="199" t="s">
        <v>44</v>
      </c>
      <c r="B41" s="94">
        <v>44075</v>
      </c>
      <c r="C41" s="94">
        <v>44104</v>
      </c>
      <c r="D41" s="107">
        <v>1460</v>
      </c>
      <c r="E41" s="96">
        <v>1780</v>
      </c>
      <c r="F41" s="97">
        <v>0</v>
      </c>
      <c r="G41" s="95">
        <v>4300</v>
      </c>
      <c r="H41" s="96">
        <v>4300</v>
      </c>
      <c r="I41" s="105">
        <v>0</v>
      </c>
      <c r="J41" s="95">
        <v>3510</v>
      </c>
      <c r="K41" s="96">
        <v>4130</v>
      </c>
      <c r="L41" s="97">
        <v>0</v>
      </c>
      <c r="M41" s="95">
        <v>3132</v>
      </c>
      <c r="N41" s="96">
        <v>4128</v>
      </c>
      <c r="O41" s="97">
        <v>0</v>
      </c>
      <c r="P41" s="95">
        <v>2180</v>
      </c>
      <c r="Q41" s="96">
        <v>2500</v>
      </c>
      <c r="R41" s="97">
        <v>0</v>
      </c>
      <c r="S41" s="95">
        <v>750</v>
      </c>
      <c r="T41" s="96">
        <v>1555</v>
      </c>
      <c r="U41" s="97">
        <v>0</v>
      </c>
      <c r="V41" s="95">
        <v>2420</v>
      </c>
      <c r="W41" s="96">
        <v>3010</v>
      </c>
      <c r="X41" s="97">
        <v>0</v>
      </c>
      <c r="Y41" s="95">
        <v>1420</v>
      </c>
      <c r="Z41" s="96">
        <v>1550</v>
      </c>
      <c r="AA41" s="97">
        <v>0</v>
      </c>
      <c r="AB41" s="95">
        <v>1330</v>
      </c>
      <c r="AC41" s="96">
        <v>1550</v>
      </c>
      <c r="AD41" s="97">
        <v>0</v>
      </c>
      <c r="AE41" s="95">
        <v>2500</v>
      </c>
      <c r="AF41" s="96">
        <v>2750</v>
      </c>
      <c r="AG41" s="105">
        <v>0</v>
      </c>
      <c r="AH41" s="231">
        <f>+Janvier!AJ41</f>
        <v>1769.7115384615383</v>
      </c>
      <c r="AI41" s="231">
        <f>+Janvier!AK41</f>
        <v>5505.7692307692305</v>
      </c>
      <c r="AJ41" s="231">
        <f>+Janvier!AL41</f>
        <v>4129.3269230769229</v>
      </c>
      <c r="AK41" s="231">
        <f>+Janvier!AM41</f>
        <v>4129.3269230769229</v>
      </c>
      <c r="AL41" s="231">
        <f>+Janvier!AN41</f>
        <v>2502.6223776223778</v>
      </c>
      <c r="AM41" s="231">
        <f>+Janvier!AO41</f>
        <v>1548.4975961538462</v>
      </c>
      <c r="AN41" s="231">
        <f>+Janvier!AP41</f>
        <v>3096.9951923076924</v>
      </c>
      <c r="AO41" s="231">
        <f>+Janvier!AQ41</f>
        <v>1548.4975961538462</v>
      </c>
      <c r="AP41" s="231">
        <f>+Janvier!AR41</f>
        <v>1548.4975961538462</v>
      </c>
      <c r="AQ41" s="231">
        <f>+Janvier!AS41</f>
        <v>2752.8846153846152</v>
      </c>
      <c r="AR41" s="16">
        <f t="shared" ref="AR41:AR53" si="78">ROUND(E41/(AH41/5),0)</f>
        <v>5</v>
      </c>
      <c r="AS41" s="16">
        <f t="shared" ref="AS41:AS53" si="79">ROUND(H41/(AI41/5),0)</f>
        <v>4</v>
      </c>
      <c r="AT41" s="16">
        <f t="shared" ref="AT41:AT53" si="80">ROUND(K41/(AJ41/5),0)</f>
        <v>5</v>
      </c>
      <c r="AU41" s="16">
        <f t="shared" ref="AU41:AU53" si="81">ROUND(N41/(AK41/5),0)</f>
        <v>5</v>
      </c>
      <c r="AV41" s="16">
        <f t="shared" ref="AV41:AV53" si="82">ROUND(Q41/(AL41/5),0)</f>
        <v>5</v>
      </c>
      <c r="AW41" s="16">
        <f t="shared" ref="AW41:AW53" si="83">ROUND(T41/(AM41/5),0)</f>
        <v>5</v>
      </c>
      <c r="AX41" s="16">
        <f t="shared" ref="AX41:AX53" si="84">ROUND(W41/(AN41/5),0)</f>
        <v>5</v>
      </c>
      <c r="AY41" s="16">
        <f t="shared" ref="AY41:AY53" si="85">ROUND(Z41/(AO41/5),0)</f>
        <v>5</v>
      </c>
      <c r="AZ41" s="16">
        <f t="shared" ref="AZ41:AZ53" si="86">ROUND(AC41/(AP41/5),0)</f>
        <v>5</v>
      </c>
      <c r="BA41" s="17">
        <f t="shared" ref="BA41:BA53" si="87">ROUND(AF41/(AQ41/5),0)</f>
        <v>5</v>
      </c>
    </row>
    <row r="42" spans="1:53" ht="15.6" x14ac:dyDescent="0.3">
      <c r="A42" s="199" t="s">
        <v>45</v>
      </c>
      <c r="B42" s="94">
        <v>44075</v>
      </c>
      <c r="C42" s="94">
        <v>44104</v>
      </c>
      <c r="D42" s="107">
        <v>480</v>
      </c>
      <c r="E42" s="96">
        <v>500</v>
      </c>
      <c r="F42" s="97">
        <v>0</v>
      </c>
      <c r="G42" s="95">
        <v>1400</v>
      </c>
      <c r="H42" s="96">
        <v>1560</v>
      </c>
      <c r="I42" s="105">
        <v>0</v>
      </c>
      <c r="J42" s="95">
        <v>1000</v>
      </c>
      <c r="K42" s="96">
        <v>1170</v>
      </c>
      <c r="L42" s="97">
        <v>0</v>
      </c>
      <c r="M42" s="95">
        <v>1012</v>
      </c>
      <c r="N42" s="96">
        <v>1164</v>
      </c>
      <c r="O42" s="97">
        <v>0</v>
      </c>
      <c r="P42" s="95">
        <v>706</v>
      </c>
      <c r="Q42" s="96">
        <v>706</v>
      </c>
      <c r="R42" s="97">
        <v>13</v>
      </c>
      <c r="S42" s="95">
        <v>400</v>
      </c>
      <c r="T42" s="96">
        <v>440</v>
      </c>
      <c r="U42" s="97">
        <v>0</v>
      </c>
      <c r="V42" s="95">
        <v>260</v>
      </c>
      <c r="W42" s="96">
        <v>870</v>
      </c>
      <c r="X42" s="97">
        <v>0</v>
      </c>
      <c r="Y42" s="95">
        <v>370</v>
      </c>
      <c r="Z42" s="96">
        <v>440</v>
      </c>
      <c r="AA42" s="97">
        <v>0</v>
      </c>
      <c r="AB42" s="95">
        <v>360</v>
      </c>
      <c r="AC42" s="96">
        <v>440</v>
      </c>
      <c r="AD42" s="97">
        <v>0</v>
      </c>
      <c r="AE42" s="95">
        <v>700</v>
      </c>
      <c r="AF42" s="96">
        <v>780</v>
      </c>
      <c r="AG42" s="105">
        <v>0</v>
      </c>
      <c r="AH42" s="231">
        <f>+Janvier!AJ42</f>
        <v>499.20329670329681</v>
      </c>
      <c r="AI42" s="231">
        <f>+Janvier!AK42</f>
        <v>1553.0769230769233</v>
      </c>
      <c r="AJ42" s="231">
        <f>+Janvier!AL42</f>
        <v>1164.8076923076926</v>
      </c>
      <c r="AK42" s="231">
        <f>+Janvier!AM42</f>
        <v>1164.8076923076926</v>
      </c>
      <c r="AL42" s="231">
        <f>+Janvier!AN42</f>
        <v>705.944055944056</v>
      </c>
      <c r="AM42" s="231">
        <f>+Janvier!AO42</f>
        <v>436.80288461538458</v>
      </c>
      <c r="AN42" s="231">
        <f>+Janvier!AP42</f>
        <v>873.60576923076917</v>
      </c>
      <c r="AO42" s="231">
        <f>+Janvier!AQ42</f>
        <v>436.80288461538458</v>
      </c>
      <c r="AP42" s="231">
        <f>+Janvier!AR42</f>
        <v>436.80288461538458</v>
      </c>
      <c r="AQ42" s="231">
        <f>+Janvier!AS42</f>
        <v>776.53846153846166</v>
      </c>
      <c r="AR42" s="16">
        <f t="shared" si="78"/>
        <v>5</v>
      </c>
      <c r="AS42" s="16">
        <f t="shared" si="79"/>
        <v>5</v>
      </c>
      <c r="AT42" s="16">
        <f t="shared" si="80"/>
        <v>5</v>
      </c>
      <c r="AU42" s="16">
        <f t="shared" si="81"/>
        <v>5</v>
      </c>
      <c r="AV42" s="16">
        <f t="shared" si="82"/>
        <v>5</v>
      </c>
      <c r="AW42" s="16">
        <f t="shared" si="83"/>
        <v>5</v>
      </c>
      <c r="AX42" s="16">
        <f t="shared" si="84"/>
        <v>5</v>
      </c>
      <c r="AY42" s="16">
        <f t="shared" si="85"/>
        <v>5</v>
      </c>
      <c r="AZ42" s="16">
        <f t="shared" si="86"/>
        <v>5</v>
      </c>
      <c r="BA42" s="17">
        <f t="shared" si="87"/>
        <v>5</v>
      </c>
    </row>
    <row r="43" spans="1:53" ht="15.6" x14ac:dyDescent="0.3">
      <c r="A43" s="199" t="s">
        <v>46</v>
      </c>
      <c r="B43" s="94">
        <v>44075</v>
      </c>
      <c r="C43" s="94">
        <v>44104</v>
      </c>
      <c r="D43" s="107">
        <v>2400</v>
      </c>
      <c r="E43" s="96">
        <v>3080</v>
      </c>
      <c r="F43" s="97">
        <v>0</v>
      </c>
      <c r="G43" s="95">
        <v>6420</v>
      </c>
      <c r="H43" s="96">
        <v>9580</v>
      </c>
      <c r="I43" s="105">
        <v>0</v>
      </c>
      <c r="J43" s="95">
        <v>5900</v>
      </c>
      <c r="K43" s="96">
        <v>7180</v>
      </c>
      <c r="L43" s="97">
        <v>0</v>
      </c>
      <c r="M43" s="95">
        <v>5460</v>
      </c>
      <c r="N43" s="96">
        <v>7176</v>
      </c>
      <c r="O43" s="97">
        <v>0</v>
      </c>
      <c r="P43" s="95">
        <v>3834</v>
      </c>
      <c r="Q43" s="96">
        <v>4349</v>
      </c>
      <c r="R43" s="97">
        <v>0</v>
      </c>
      <c r="S43" s="95">
        <v>1580</v>
      </c>
      <c r="T43" s="96">
        <v>2700</v>
      </c>
      <c r="U43" s="97">
        <v>0</v>
      </c>
      <c r="V43" s="95">
        <v>3850</v>
      </c>
      <c r="W43" s="96">
        <v>5380</v>
      </c>
      <c r="X43" s="97">
        <v>0</v>
      </c>
      <c r="Y43" s="95">
        <v>2240</v>
      </c>
      <c r="Z43" s="96">
        <v>2700</v>
      </c>
      <c r="AA43" s="97">
        <v>0</v>
      </c>
      <c r="AB43" s="95">
        <v>2210</v>
      </c>
      <c r="AC43" s="96">
        <v>2700</v>
      </c>
      <c r="AD43" s="97">
        <v>0</v>
      </c>
      <c r="AE43" s="95">
        <v>4560</v>
      </c>
      <c r="AF43" s="96">
        <v>4780</v>
      </c>
      <c r="AG43" s="105">
        <v>0</v>
      </c>
      <c r="AH43" s="231">
        <f>+Janvier!AJ43</f>
        <v>3075.0824175824173</v>
      </c>
      <c r="AI43" s="231">
        <f>+Janvier!AK43</f>
        <v>9566.923076923078</v>
      </c>
      <c r="AJ43" s="231">
        <f>+Janvier!AL43</f>
        <v>7175.1923076923067</v>
      </c>
      <c r="AK43" s="231">
        <f>+Janvier!AM43</f>
        <v>7175.1923076923067</v>
      </c>
      <c r="AL43" s="231">
        <f>+Janvier!AN43</f>
        <v>4348.6013986013986</v>
      </c>
      <c r="AM43" s="231">
        <f>+Janvier!AO43</f>
        <v>2690.6971153846152</v>
      </c>
      <c r="AN43" s="231">
        <f>+Janvier!AP43</f>
        <v>5381.3942307692305</v>
      </c>
      <c r="AO43" s="231">
        <f>+Janvier!AQ43</f>
        <v>2690.6971153846152</v>
      </c>
      <c r="AP43" s="231">
        <f>+Janvier!AR43</f>
        <v>2690.6971153846152</v>
      </c>
      <c r="AQ43" s="231">
        <f>+Janvier!AS43</f>
        <v>4783.461538461539</v>
      </c>
      <c r="AR43" s="16">
        <f t="shared" si="78"/>
        <v>5</v>
      </c>
      <c r="AS43" s="16">
        <f t="shared" si="79"/>
        <v>5</v>
      </c>
      <c r="AT43" s="16">
        <f t="shared" si="80"/>
        <v>5</v>
      </c>
      <c r="AU43" s="16">
        <f t="shared" si="81"/>
        <v>5</v>
      </c>
      <c r="AV43" s="16">
        <f t="shared" si="82"/>
        <v>5</v>
      </c>
      <c r="AW43" s="16">
        <f t="shared" si="83"/>
        <v>5</v>
      </c>
      <c r="AX43" s="16">
        <f t="shared" si="84"/>
        <v>5</v>
      </c>
      <c r="AY43" s="16">
        <f t="shared" si="85"/>
        <v>5</v>
      </c>
      <c r="AZ43" s="16">
        <f t="shared" si="86"/>
        <v>5</v>
      </c>
      <c r="BA43" s="17">
        <f t="shared" si="87"/>
        <v>5</v>
      </c>
    </row>
    <row r="44" spans="1:53" ht="15.6" x14ac:dyDescent="0.3">
      <c r="A44" s="199" t="s">
        <v>47</v>
      </c>
      <c r="B44" s="94">
        <v>44075</v>
      </c>
      <c r="C44" s="94">
        <v>44104</v>
      </c>
      <c r="D44" s="107">
        <v>2240</v>
      </c>
      <c r="E44" s="96">
        <v>2320</v>
      </c>
      <c r="F44" s="97">
        <v>0</v>
      </c>
      <c r="G44" s="95">
        <v>4940</v>
      </c>
      <c r="H44" s="96">
        <v>7280</v>
      </c>
      <c r="I44" s="105">
        <v>0</v>
      </c>
      <c r="J44" s="95">
        <v>4580</v>
      </c>
      <c r="K44" s="96">
        <v>5420</v>
      </c>
      <c r="L44" s="97">
        <v>0</v>
      </c>
      <c r="M44" s="95">
        <v>4928</v>
      </c>
      <c r="N44" s="96">
        <v>5420</v>
      </c>
      <c r="O44" s="97">
        <v>0</v>
      </c>
      <c r="P44" s="95">
        <v>2846</v>
      </c>
      <c r="Q44" s="96">
        <v>3287</v>
      </c>
      <c r="R44" s="97">
        <v>0</v>
      </c>
      <c r="S44" s="95">
        <v>1910</v>
      </c>
      <c r="T44" s="96">
        <v>2030</v>
      </c>
      <c r="U44" s="97">
        <v>0</v>
      </c>
      <c r="V44" s="95">
        <v>2990</v>
      </c>
      <c r="W44" s="96">
        <v>4010</v>
      </c>
      <c r="X44" s="97">
        <v>0</v>
      </c>
      <c r="Y44" s="95">
        <v>1740</v>
      </c>
      <c r="Z44" s="96">
        <v>2030</v>
      </c>
      <c r="AA44" s="97">
        <v>0</v>
      </c>
      <c r="AB44" s="95">
        <v>1730</v>
      </c>
      <c r="AC44" s="96">
        <v>2030</v>
      </c>
      <c r="AD44" s="97">
        <v>0</v>
      </c>
      <c r="AE44" s="95">
        <v>2760</v>
      </c>
      <c r="AF44" s="96">
        <v>3620</v>
      </c>
      <c r="AG44" s="105">
        <v>0</v>
      </c>
      <c r="AH44" s="231">
        <f>+Janvier!AJ44</f>
        <v>2324.2994505494512</v>
      </c>
      <c r="AI44" s="231">
        <f>+Janvier!AK44</f>
        <v>7231.1538461538476</v>
      </c>
      <c r="AJ44" s="231">
        <f>+Janvier!AL44</f>
        <v>5423.3653846153857</v>
      </c>
      <c r="AK44" s="231">
        <f>+Janvier!AM44</f>
        <v>5423.3653846153857</v>
      </c>
      <c r="AL44" s="231">
        <f>+Janvier!AN44</f>
        <v>3286.8881118881118</v>
      </c>
      <c r="AM44" s="231">
        <f>+Janvier!AO44</f>
        <v>2033.7620192307693</v>
      </c>
      <c r="AN44" s="231">
        <f>+Janvier!AP44</f>
        <v>4067.5240384615386</v>
      </c>
      <c r="AO44" s="231">
        <f>+Janvier!AQ44</f>
        <v>2033.7620192307693</v>
      </c>
      <c r="AP44" s="231">
        <f>+Janvier!AR44</f>
        <v>2033.7620192307693</v>
      </c>
      <c r="AQ44" s="231">
        <f>+Janvier!AS44</f>
        <v>3615.5769230769238</v>
      </c>
      <c r="AR44" s="16">
        <f t="shared" si="78"/>
        <v>5</v>
      </c>
      <c r="AS44" s="16">
        <f t="shared" si="79"/>
        <v>5</v>
      </c>
      <c r="AT44" s="16">
        <f t="shared" si="80"/>
        <v>5</v>
      </c>
      <c r="AU44" s="16">
        <f t="shared" si="81"/>
        <v>5</v>
      </c>
      <c r="AV44" s="16">
        <f t="shared" si="82"/>
        <v>5</v>
      </c>
      <c r="AW44" s="16">
        <f t="shared" si="83"/>
        <v>5</v>
      </c>
      <c r="AX44" s="16">
        <f t="shared" si="84"/>
        <v>5</v>
      </c>
      <c r="AY44" s="16">
        <f t="shared" si="85"/>
        <v>5</v>
      </c>
      <c r="AZ44" s="16">
        <f t="shared" si="86"/>
        <v>5</v>
      </c>
      <c r="BA44" s="17">
        <f t="shared" si="87"/>
        <v>5</v>
      </c>
    </row>
    <row r="45" spans="1:53" ht="15.6" x14ac:dyDescent="0.3">
      <c r="A45" s="199" t="s">
        <v>48</v>
      </c>
      <c r="B45" s="94">
        <v>44075</v>
      </c>
      <c r="C45" s="94">
        <v>44104</v>
      </c>
      <c r="D45" s="107">
        <v>2040</v>
      </c>
      <c r="E45" s="96">
        <v>2320</v>
      </c>
      <c r="F45" s="97">
        <v>0</v>
      </c>
      <c r="G45" s="95">
        <v>6320</v>
      </c>
      <c r="H45" s="96">
        <v>7240</v>
      </c>
      <c r="I45" s="105">
        <v>0</v>
      </c>
      <c r="J45" s="95">
        <v>5100</v>
      </c>
      <c r="K45" s="96">
        <v>5430</v>
      </c>
      <c r="L45" s="97">
        <v>0</v>
      </c>
      <c r="M45" s="95">
        <v>4980</v>
      </c>
      <c r="N45" s="96">
        <v>5432</v>
      </c>
      <c r="O45" s="97">
        <v>0</v>
      </c>
      <c r="P45" s="95">
        <v>3300</v>
      </c>
      <c r="Q45" s="96">
        <v>3335</v>
      </c>
      <c r="R45" s="97">
        <v>0</v>
      </c>
      <c r="S45" s="95">
        <v>1680</v>
      </c>
      <c r="T45" s="96">
        <v>2040</v>
      </c>
      <c r="U45" s="97">
        <v>0</v>
      </c>
      <c r="V45" s="95">
        <v>3130</v>
      </c>
      <c r="W45" s="96">
        <v>4070</v>
      </c>
      <c r="X45" s="97">
        <v>0</v>
      </c>
      <c r="Y45" s="95">
        <v>1830</v>
      </c>
      <c r="Z45" s="96">
        <v>2040</v>
      </c>
      <c r="AA45" s="97">
        <v>0</v>
      </c>
      <c r="AB45" s="95">
        <v>1870</v>
      </c>
      <c r="AC45" s="96">
        <v>2040</v>
      </c>
      <c r="AD45" s="97">
        <v>0</v>
      </c>
      <c r="AE45" s="95">
        <v>2910</v>
      </c>
      <c r="AF45" s="96">
        <v>3620</v>
      </c>
      <c r="AG45" s="105">
        <v>0</v>
      </c>
      <c r="AH45" s="231">
        <f>+Janvier!AJ45</f>
        <v>2327.5137362637361</v>
      </c>
      <c r="AI45" s="231">
        <f>+Janvier!AK45</f>
        <v>7241.1538461538466</v>
      </c>
      <c r="AJ45" s="231">
        <f>+Janvier!AL45</f>
        <v>5430.8653846153829</v>
      </c>
      <c r="AK45" s="231">
        <f>+Janvier!AM45</f>
        <v>5430.8653846153829</v>
      </c>
      <c r="AL45" s="231">
        <f>+Janvier!AN45</f>
        <v>3291.4335664335663</v>
      </c>
      <c r="AM45" s="231">
        <f>+Janvier!AO45</f>
        <v>2036.5745192307693</v>
      </c>
      <c r="AN45" s="231">
        <f>+Janvier!AP45</f>
        <v>4073.1490384615386</v>
      </c>
      <c r="AO45" s="231">
        <f>+Janvier!AQ45</f>
        <v>2036.5745192307693</v>
      </c>
      <c r="AP45" s="231">
        <f>+Janvier!AR45</f>
        <v>2036.5745192307693</v>
      </c>
      <c r="AQ45" s="231">
        <f>+Janvier!AS45</f>
        <v>3620.5769230769233</v>
      </c>
      <c r="AR45" s="16">
        <f t="shared" si="78"/>
        <v>5</v>
      </c>
      <c r="AS45" s="16">
        <f t="shared" si="79"/>
        <v>5</v>
      </c>
      <c r="AT45" s="16">
        <f t="shared" si="80"/>
        <v>5</v>
      </c>
      <c r="AU45" s="16">
        <f t="shared" si="81"/>
        <v>5</v>
      </c>
      <c r="AV45" s="16">
        <f t="shared" si="82"/>
        <v>5</v>
      </c>
      <c r="AW45" s="16">
        <f t="shared" si="83"/>
        <v>5</v>
      </c>
      <c r="AX45" s="16">
        <f t="shared" si="84"/>
        <v>5</v>
      </c>
      <c r="AY45" s="16">
        <f t="shared" si="85"/>
        <v>5</v>
      </c>
      <c r="AZ45" s="16">
        <f t="shared" si="86"/>
        <v>5</v>
      </c>
      <c r="BA45" s="17">
        <f t="shared" si="87"/>
        <v>5</v>
      </c>
    </row>
    <row r="46" spans="1:53" ht="15.6" x14ac:dyDescent="0.3">
      <c r="A46" s="199" t="s">
        <v>49</v>
      </c>
      <c r="B46" s="94">
        <v>44075</v>
      </c>
      <c r="C46" s="94">
        <v>44104</v>
      </c>
      <c r="D46" s="107">
        <v>1740</v>
      </c>
      <c r="E46" s="96">
        <v>2160</v>
      </c>
      <c r="F46" s="97">
        <v>0</v>
      </c>
      <c r="G46" s="95">
        <v>5340</v>
      </c>
      <c r="H46" s="96">
        <v>6720</v>
      </c>
      <c r="I46" s="105">
        <v>0</v>
      </c>
      <c r="J46" s="95">
        <v>4430</v>
      </c>
      <c r="K46" s="96">
        <v>5040</v>
      </c>
      <c r="L46" s="97">
        <v>0</v>
      </c>
      <c r="M46" s="95">
        <v>4320</v>
      </c>
      <c r="N46" s="96">
        <v>4320</v>
      </c>
      <c r="O46" s="97">
        <v>4</v>
      </c>
      <c r="P46" s="95">
        <v>2763</v>
      </c>
      <c r="Q46" s="96">
        <v>3055</v>
      </c>
      <c r="R46" s="97">
        <v>0</v>
      </c>
      <c r="S46" s="95">
        <v>1140</v>
      </c>
      <c r="T46" s="96">
        <v>2040</v>
      </c>
      <c r="U46" s="97">
        <v>0</v>
      </c>
      <c r="V46" s="95">
        <v>2160</v>
      </c>
      <c r="W46" s="96">
        <v>3780</v>
      </c>
      <c r="X46" s="97">
        <v>0</v>
      </c>
      <c r="Y46" s="95">
        <v>1630</v>
      </c>
      <c r="Z46" s="96">
        <v>1890</v>
      </c>
      <c r="AA46" s="97">
        <v>0</v>
      </c>
      <c r="AB46" s="95">
        <v>1600</v>
      </c>
      <c r="AC46" s="96">
        <v>1890</v>
      </c>
      <c r="AD46" s="97">
        <v>0</v>
      </c>
      <c r="AE46" s="95">
        <v>2190</v>
      </c>
      <c r="AF46" s="96">
        <v>3360</v>
      </c>
      <c r="AG46" s="105">
        <v>0</v>
      </c>
      <c r="AH46" s="231">
        <f>+Janvier!AJ46</f>
        <v>2160.3708791208792</v>
      </c>
      <c r="AI46" s="231">
        <f>+Janvier!AK46</f>
        <v>6721.1538461538466</v>
      </c>
      <c r="AJ46" s="231">
        <f>+Janvier!AL46</f>
        <v>5040.8653846153848</v>
      </c>
      <c r="AK46" s="231">
        <f>+Janvier!AM46</f>
        <v>5040.8653846153848</v>
      </c>
      <c r="AL46" s="231">
        <f>+Janvier!AN46</f>
        <v>3055.0699300699303</v>
      </c>
      <c r="AM46" s="231">
        <f>+Janvier!AO46</f>
        <v>1890.3245192307693</v>
      </c>
      <c r="AN46" s="231">
        <f>+Janvier!AP46</f>
        <v>3780.6490384615386</v>
      </c>
      <c r="AO46" s="231">
        <f>+Janvier!AQ46</f>
        <v>1890.3245192307693</v>
      </c>
      <c r="AP46" s="231">
        <f>+Janvier!AR46</f>
        <v>1890.3245192307693</v>
      </c>
      <c r="AQ46" s="231">
        <f>+Janvier!AS46</f>
        <v>3360.5769230769233</v>
      </c>
      <c r="AR46" s="16">
        <f t="shared" si="78"/>
        <v>5</v>
      </c>
      <c r="AS46" s="16">
        <f t="shared" si="79"/>
        <v>5</v>
      </c>
      <c r="AT46" s="16">
        <f t="shared" si="80"/>
        <v>5</v>
      </c>
      <c r="AU46" s="16">
        <f t="shared" si="81"/>
        <v>4</v>
      </c>
      <c r="AV46" s="16">
        <f t="shared" si="82"/>
        <v>5</v>
      </c>
      <c r="AW46" s="16">
        <f t="shared" si="83"/>
        <v>5</v>
      </c>
      <c r="AX46" s="16">
        <f t="shared" si="84"/>
        <v>5</v>
      </c>
      <c r="AY46" s="16">
        <f t="shared" si="85"/>
        <v>5</v>
      </c>
      <c r="AZ46" s="16">
        <f t="shared" si="86"/>
        <v>5</v>
      </c>
      <c r="BA46" s="17">
        <f t="shared" si="87"/>
        <v>5</v>
      </c>
    </row>
    <row r="47" spans="1:53" ht="15.6" x14ac:dyDescent="0.3">
      <c r="A47" s="199" t="s">
        <v>50</v>
      </c>
      <c r="B47" s="94">
        <v>44075</v>
      </c>
      <c r="C47" s="94">
        <v>44104</v>
      </c>
      <c r="D47" s="107">
        <v>3160</v>
      </c>
      <c r="E47" s="96">
        <v>3760</v>
      </c>
      <c r="F47" s="97">
        <v>0</v>
      </c>
      <c r="G47" s="95">
        <v>9960</v>
      </c>
      <c r="H47" s="96">
        <v>11720</v>
      </c>
      <c r="I47" s="105">
        <v>0</v>
      </c>
      <c r="J47" s="95">
        <v>7620</v>
      </c>
      <c r="K47" s="96">
        <v>8790</v>
      </c>
      <c r="L47" s="97">
        <v>0</v>
      </c>
      <c r="M47" s="95">
        <v>7724</v>
      </c>
      <c r="N47" s="96">
        <v>8788</v>
      </c>
      <c r="O47" s="97">
        <v>0</v>
      </c>
      <c r="P47" s="95">
        <v>5027</v>
      </c>
      <c r="Q47" s="96">
        <v>5327</v>
      </c>
      <c r="R47" s="97">
        <v>0</v>
      </c>
      <c r="S47" s="95">
        <v>2610</v>
      </c>
      <c r="T47" s="96">
        <v>3300</v>
      </c>
      <c r="U47" s="97">
        <v>0</v>
      </c>
      <c r="V47" s="95">
        <v>5330</v>
      </c>
      <c r="W47" s="96">
        <v>6600</v>
      </c>
      <c r="X47" s="97">
        <v>0</v>
      </c>
      <c r="Y47" s="95">
        <v>2870</v>
      </c>
      <c r="Z47" s="96">
        <v>3300</v>
      </c>
      <c r="AA47" s="97">
        <v>0</v>
      </c>
      <c r="AB47" s="95">
        <v>3070</v>
      </c>
      <c r="AC47" s="96">
        <v>3300</v>
      </c>
      <c r="AD47" s="97">
        <v>0</v>
      </c>
      <c r="AE47" s="95">
        <v>4040</v>
      </c>
      <c r="AF47" s="96">
        <v>5860</v>
      </c>
      <c r="AG47" s="105">
        <v>0</v>
      </c>
      <c r="AH47" s="231">
        <f>+Janvier!AJ47</f>
        <v>3766.7719780219786</v>
      </c>
      <c r="AI47" s="231">
        <f>+Janvier!AK47</f>
        <v>11718.846153846154</v>
      </c>
      <c r="AJ47" s="231">
        <f>+Janvier!AL47</f>
        <v>8789.1346153846171</v>
      </c>
      <c r="AK47" s="231">
        <f>+Janvier!AM47</f>
        <v>8789.1346153846171</v>
      </c>
      <c r="AL47" s="231">
        <f>+Janvier!AN47</f>
        <v>5326.7482517482513</v>
      </c>
      <c r="AM47" s="231">
        <f>+Janvier!AO47</f>
        <v>3295.9254807692309</v>
      </c>
      <c r="AN47" s="231">
        <f>+Janvier!AP47</f>
        <v>6591.8509615384619</v>
      </c>
      <c r="AO47" s="231">
        <f>+Janvier!AQ47</f>
        <v>3295.9254807692309</v>
      </c>
      <c r="AP47" s="231">
        <f>+Janvier!AR47</f>
        <v>3295.9254807692309</v>
      </c>
      <c r="AQ47" s="231">
        <f>+Janvier!AS47</f>
        <v>5859.4230769230771</v>
      </c>
      <c r="AR47" s="16">
        <f t="shared" si="78"/>
        <v>5</v>
      </c>
      <c r="AS47" s="16">
        <f t="shared" si="79"/>
        <v>5</v>
      </c>
      <c r="AT47" s="16">
        <f t="shared" si="80"/>
        <v>5</v>
      </c>
      <c r="AU47" s="16">
        <f t="shared" si="81"/>
        <v>5</v>
      </c>
      <c r="AV47" s="16">
        <f t="shared" si="82"/>
        <v>5</v>
      </c>
      <c r="AW47" s="16">
        <f t="shared" si="83"/>
        <v>5</v>
      </c>
      <c r="AX47" s="16">
        <f t="shared" si="84"/>
        <v>5</v>
      </c>
      <c r="AY47" s="16">
        <f t="shared" si="85"/>
        <v>5</v>
      </c>
      <c r="AZ47" s="16">
        <f t="shared" si="86"/>
        <v>5</v>
      </c>
      <c r="BA47" s="17">
        <f t="shared" si="87"/>
        <v>5</v>
      </c>
    </row>
    <row r="48" spans="1:53" ht="15.6" x14ac:dyDescent="0.3">
      <c r="A48" s="199" t="s">
        <v>56</v>
      </c>
      <c r="B48" s="94">
        <v>44075</v>
      </c>
      <c r="C48" s="94">
        <v>44104</v>
      </c>
      <c r="D48" s="107">
        <v>1400</v>
      </c>
      <c r="E48" s="96">
        <v>1660</v>
      </c>
      <c r="F48" s="97">
        <v>0</v>
      </c>
      <c r="G48" s="95">
        <v>3720</v>
      </c>
      <c r="H48" s="96">
        <v>5200</v>
      </c>
      <c r="I48" s="105">
        <v>0</v>
      </c>
      <c r="J48" s="95">
        <v>3100</v>
      </c>
      <c r="K48" s="96">
        <v>3900</v>
      </c>
      <c r="L48" s="97">
        <v>0</v>
      </c>
      <c r="M48" s="95">
        <v>3016</v>
      </c>
      <c r="N48" s="96">
        <v>3840</v>
      </c>
      <c r="O48" s="97">
        <v>0</v>
      </c>
      <c r="P48" s="95">
        <v>1491</v>
      </c>
      <c r="Q48" s="96">
        <v>2008</v>
      </c>
      <c r="R48" s="97">
        <v>0</v>
      </c>
      <c r="S48" s="95">
        <v>1080</v>
      </c>
      <c r="T48" s="96">
        <v>1300</v>
      </c>
      <c r="U48" s="97">
        <v>0</v>
      </c>
      <c r="V48" s="95">
        <v>1110</v>
      </c>
      <c r="W48" s="96">
        <v>2490</v>
      </c>
      <c r="X48" s="97">
        <v>0</v>
      </c>
      <c r="Y48" s="95">
        <v>1070</v>
      </c>
      <c r="Z48" s="96">
        <v>1540</v>
      </c>
      <c r="AA48" s="97">
        <v>0</v>
      </c>
      <c r="AB48" s="95">
        <v>1030</v>
      </c>
      <c r="AC48" s="96">
        <v>1540</v>
      </c>
      <c r="AD48" s="97">
        <v>0</v>
      </c>
      <c r="AE48" s="95">
        <v>750</v>
      </c>
      <c r="AF48" s="96">
        <v>2180</v>
      </c>
      <c r="AG48" s="105">
        <v>0</v>
      </c>
      <c r="AH48" s="231">
        <f>+Janvier!AJ48</f>
        <v>1604.6703296703297</v>
      </c>
      <c r="AI48" s="231">
        <f>+Janvier!AK48</f>
        <v>4992.3076923076924</v>
      </c>
      <c r="AJ48" s="231">
        <f>+Janvier!AL48</f>
        <v>3744.2307692307691</v>
      </c>
      <c r="AK48" s="231">
        <f>+Janvier!AM48</f>
        <v>3744.2307692307691</v>
      </c>
      <c r="AL48" s="231">
        <f>+Janvier!AN48</f>
        <v>2269.2307692307695</v>
      </c>
      <c r="AM48" s="231">
        <f>+Janvier!AO48</f>
        <v>1404.0865384615383</v>
      </c>
      <c r="AN48" s="231">
        <f>+Janvier!AP48</f>
        <v>2808.1730769230767</v>
      </c>
      <c r="AO48" s="231">
        <f>+Janvier!AQ48</f>
        <v>1404.0865384615383</v>
      </c>
      <c r="AP48" s="231">
        <f>+Janvier!AR48</f>
        <v>1404.0865384615383</v>
      </c>
      <c r="AQ48" s="231">
        <f>+Janvier!AS48</f>
        <v>2496.1538461538462</v>
      </c>
      <c r="AR48" s="16">
        <f t="shared" si="78"/>
        <v>5</v>
      </c>
      <c r="AS48" s="16">
        <f t="shared" si="79"/>
        <v>5</v>
      </c>
      <c r="AT48" s="16">
        <f t="shared" si="80"/>
        <v>5</v>
      </c>
      <c r="AU48" s="16">
        <f t="shared" si="81"/>
        <v>5</v>
      </c>
      <c r="AV48" s="16">
        <f t="shared" si="82"/>
        <v>4</v>
      </c>
      <c r="AW48" s="16">
        <f t="shared" si="83"/>
        <v>5</v>
      </c>
      <c r="AX48" s="16">
        <f t="shared" si="84"/>
        <v>4</v>
      </c>
      <c r="AY48" s="16">
        <f t="shared" si="85"/>
        <v>5</v>
      </c>
      <c r="AZ48" s="16">
        <f t="shared" si="86"/>
        <v>5</v>
      </c>
      <c r="BA48" s="17">
        <f t="shared" si="87"/>
        <v>4</v>
      </c>
    </row>
    <row r="49" spans="1:53" ht="15.6" x14ac:dyDescent="0.3">
      <c r="A49" s="199" t="s">
        <v>51</v>
      </c>
      <c r="B49" s="94">
        <v>44075</v>
      </c>
      <c r="C49" s="94">
        <v>44104</v>
      </c>
      <c r="D49" s="107">
        <v>1200</v>
      </c>
      <c r="E49" s="96">
        <v>1200</v>
      </c>
      <c r="F49" s="97">
        <v>0</v>
      </c>
      <c r="G49" s="95">
        <v>2500</v>
      </c>
      <c r="H49" s="96">
        <v>3200</v>
      </c>
      <c r="I49" s="105">
        <v>0</v>
      </c>
      <c r="J49" s="95">
        <v>1870</v>
      </c>
      <c r="K49" s="96">
        <v>2410</v>
      </c>
      <c r="L49" s="97">
        <v>0</v>
      </c>
      <c r="M49" s="95">
        <v>1928</v>
      </c>
      <c r="N49" s="96">
        <v>2400</v>
      </c>
      <c r="O49" s="97">
        <v>0</v>
      </c>
      <c r="P49" s="95">
        <v>1265</v>
      </c>
      <c r="Q49" s="96">
        <v>1400</v>
      </c>
      <c r="R49" s="97">
        <v>0</v>
      </c>
      <c r="S49" s="95">
        <v>570</v>
      </c>
      <c r="T49" s="96">
        <v>900</v>
      </c>
      <c r="U49" s="97">
        <v>0</v>
      </c>
      <c r="V49" s="95">
        <v>370</v>
      </c>
      <c r="W49" s="96">
        <v>1810</v>
      </c>
      <c r="X49" s="97">
        <v>0</v>
      </c>
      <c r="Y49" s="95">
        <v>690</v>
      </c>
      <c r="Z49" s="96">
        <v>900</v>
      </c>
      <c r="AA49" s="97">
        <v>0</v>
      </c>
      <c r="AB49" s="95">
        <v>740</v>
      </c>
      <c r="AC49" s="96">
        <v>900</v>
      </c>
      <c r="AD49" s="97">
        <v>0</v>
      </c>
      <c r="AE49" s="95">
        <v>110</v>
      </c>
      <c r="AF49" s="96">
        <v>1610</v>
      </c>
      <c r="AG49" s="105">
        <v>0</v>
      </c>
      <c r="AH49" s="231">
        <f>+Janvier!AJ49</f>
        <v>1032.2802197802198</v>
      </c>
      <c r="AI49" s="231">
        <f>+Janvier!AK49</f>
        <v>3211.5384615384614</v>
      </c>
      <c r="AJ49" s="231">
        <f>+Janvier!AL49</f>
        <v>2408.6538461538462</v>
      </c>
      <c r="AK49" s="231">
        <f>+Janvier!AM49</f>
        <v>2408.6538461538462</v>
      </c>
      <c r="AL49" s="231">
        <f>+Janvier!AN49</f>
        <v>1459.7902097902099</v>
      </c>
      <c r="AM49" s="231">
        <f>+Janvier!AO49</f>
        <v>903.24519230769226</v>
      </c>
      <c r="AN49" s="231">
        <f>+Janvier!AP49</f>
        <v>1806.4903846153845</v>
      </c>
      <c r="AO49" s="231">
        <f>+Janvier!AQ49</f>
        <v>903.24519230769226</v>
      </c>
      <c r="AP49" s="231">
        <f>+Janvier!AR49</f>
        <v>903.24519230769226</v>
      </c>
      <c r="AQ49" s="231">
        <f>+Janvier!AS49</f>
        <v>1605.7692307692307</v>
      </c>
      <c r="AR49" s="16">
        <f t="shared" si="78"/>
        <v>6</v>
      </c>
      <c r="AS49" s="16">
        <f t="shared" si="79"/>
        <v>5</v>
      </c>
      <c r="AT49" s="16">
        <f t="shared" si="80"/>
        <v>5</v>
      </c>
      <c r="AU49" s="16">
        <f t="shared" si="81"/>
        <v>5</v>
      </c>
      <c r="AV49" s="16">
        <f t="shared" si="82"/>
        <v>5</v>
      </c>
      <c r="AW49" s="16">
        <f t="shared" si="83"/>
        <v>5</v>
      </c>
      <c r="AX49" s="16">
        <f t="shared" si="84"/>
        <v>5</v>
      </c>
      <c r="AY49" s="16">
        <f t="shared" si="85"/>
        <v>5</v>
      </c>
      <c r="AZ49" s="16">
        <f t="shared" si="86"/>
        <v>5</v>
      </c>
      <c r="BA49" s="17">
        <f t="shared" si="87"/>
        <v>5</v>
      </c>
    </row>
    <row r="50" spans="1:53" ht="15.6" x14ac:dyDescent="0.3">
      <c r="A50" s="199" t="s">
        <v>52</v>
      </c>
      <c r="B50" s="94">
        <v>44075</v>
      </c>
      <c r="C50" s="94">
        <v>44104</v>
      </c>
      <c r="D50" s="107">
        <v>1180</v>
      </c>
      <c r="E50" s="96">
        <v>3000</v>
      </c>
      <c r="F50" s="97">
        <v>0</v>
      </c>
      <c r="G50" s="95">
        <v>6000</v>
      </c>
      <c r="H50" s="96">
        <v>10000</v>
      </c>
      <c r="I50" s="105">
        <v>0</v>
      </c>
      <c r="J50" s="95">
        <v>2330</v>
      </c>
      <c r="K50" s="96">
        <v>5830</v>
      </c>
      <c r="L50" s="97">
        <v>0</v>
      </c>
      <c r="M50" s="95">
        <v>2000</v>
      </c>
      <c r="N50" s="96">
        <v>5600</v>
      </c>
      <c r="O50" s="97">
        <v>0</v>
      </c>
      <c r="P50" s="95">
        <v>1433</v>
      </c>
      <c r="Q50" s="96">
        <v>3733</v>
      </c>
      <c r="R50" s="97">
        <v>0</v>
      </c>
      <c r="S50" s="95">
        <v>1240</v>
      </c>
      <c r="T50" s="96">
        <v>2700</v>
      </c>
      <c r="U50" s="97">
        <v>0</v>
      </c>
      <c r="V50" s="95">
        <v>1790</v>
      </c>
      <c r="W50" s="96">
        <v>4620</v>
      </c>
      <c r="X50" s="97">
        <v>0</v>
      </c>
      <c r="Y50" s="95">
        <v>1600</v>
      </c>
      <c r="Z50" s="96">
        <v>2700</v>
      </c>
      <c r="AA50" s="97">
        <v>0</v>
      </c>
      <c r="AB50" s="95">
        <v>750</v>
      </c>
      <c r="AC50" s="96">
        <v>2310</v>
      </c>
      <c r="AD50" s="97">
        <v>0</v>
      </c>
      <c r="AE50" s="95">
        <v>480</v>
      </c>
      <c r="AF50" s="96">
        <v>4060</v>
      </c>
      <c r="AG50" s="105">
        <v>0</v>
      </c>
      <c r="AH50" s="231">
        <f>+Janvier!AJ50</f>
        <v>2981.6208791208792</v>
      </c>
      <c r="AI50" s="231">
        <f>+Janvier!AK50</f>
        <v>9276.1538461538476</v>
      </c>
      <c r="AJ50" s="231">
        <f>+Janvier!AL50</f>
        <v>6957.1153846153857</v>
      </c>
      <c r="AK50" s="231">
        <f>+Janvier!AM50</f>
        <v>6957.1153846153857</v>
      </c>
      <c r="AL50" s="231">
        <f>+Janvier!AN50</f>
        <v>4216.4335664335667</v>
      </c>
      <c r="AM50" s="231">
        <f>+Janvier!AO50</f>
        <v>2608.9182692307691</v>
      </c>
      <c r="AN50" s="231">
        <f>+Janvier!AP50</f>
        <v>5217.8365384615381</v>
      </c>
      <c r="AO50" s="231">
        <f>+Janvier!AQ50</f>
        <v>2608.9182692307691</v>
      </c>
      <c r="AP50" s="231">
        <f>+Janvier!AR50</f>
        <v>2608.9182692307691</v>
      </c>
      <c r="AQ50" s="231">
        <f>+Janvier!AS50</f>
        <v>4638.0769230769238</v>
      </c>
      <c r="AR50" s="16">
        <f t="shared" si="78"/>
        <v>5</v>
      </c>
      <c r="AS50" s="16">
        <f t="shared" si="79"/>
        <v>5</v>
      </c>
      <c r="AT50" s="16">
        <f t="shared" si="80"/>
        <v>4</v>
      </c>
      <c r="AU50" s="16">
        <f t="shared" si="81"/>
        <v>4</v>
      </c>
      <c r="AV50" s="16">
        <f t="shared" si="82"/>
        <v>4</v>
      </c>
      <c r="AW50" s="16">
        <f t="shared" si="83"/>
        <v>5</v>
      </c>
      <c r="AX50" s="16">
        <f t="shared" si="84"/>
        <v>4</v>
      </c>
      <c r="AY50" s="16">
        <f t="shared" si="85"/>
        <v>5</v>
      </c>
      <c r="AZ50" s="16">
        <f t="shared" si="86"/>
        <v>4</v>
      </c>
      <c r="BA50" s="17">
        <f t="shared" si="87"/>
        <v>4</v>
      </c>
    </row>
    <row r="51" spans="1:53" ht="15.6" x14ac:dyDescent="0.3">
      <c r="A51" s="199" t="s">
        <v>53</v>
      </c>
      <c r="B51" s="94">
        <v>44075</v>
      </c>
      <c r="C51" s="94">
        <v>44104</v>
      </c>
      <c r="D51" s="107">
        <v>160</v>
      </c>
      <c r="E51" s="96">
        <v>180</v>
      </c>
      <c r="F51" s="97">
        <v>0</v>
      </c>
      <c r="G51" s="95">
        <v>420</v>
      </c>
      <c r="H51" s="96">
        <v>540</v>
      </c>
      <c r="I51" s="105">
        <v>0</v>
      </c>
      <c r="J51" s="95">
        <v>300</v>
      </c>
      <c r="K51" s="96">
        <v>400</v>
      </c>
      <c r="L51" s="97">
        <v>0</v>
      </c>
      <c r="M51" s="95">
        <v>304</v>
      </c>
      <c r="N51" s="96">
        <v>392</v>
      </c>
      <c r="O51" s="97">
        <v>0</v>
      </c>
      <c r="P51" s="95">
        <v>182</v>
      </c>
      <c r="Q51" s="96">
        <v>239</v>
      </c>
      <c r="R51" s="97">
        <v>0</v>
      </c>
      <c r="S51" s="95">
        <v>0</v>
      </c>
      <c r="T51" s="96">
        <v>210</v>
      </c>
      <c r="U51" s="97">
        <v>0</v>
      </c>
      <c r="V51" s="95">
        <v>300</v>
      </c>
      <c r="W51" s="96">
        <v>300</v>
      </c>
      <c r="X51" s="97">
        <v>3</v>
      </c>
      <c r="Y51" s="95">
        <v>150</v>
      </c>
      <c r="Z51" s="96">
        <v>150</v>
      </c>
      <c r="AA51" s="97">
        <v>3</v>
      </c>
      <c r="AB51" s="95">
        <v>150</v>
      </c>
      <c r="AC51" s="96">
        <v>150</v>
      </c>
      <c r="AD51" s="97">
        <v>3</v>
      </c>
      <c r="AE51" s="95">
        <v>260</v>
      </c>
      <c r="AF51" s="96">
        <v>260</v>
      </c>
      <c r="AG51" s="105">
        <v>3</v>
      </c>
      <c r="AH51" s="231">
        <f>+Janvier!AJ51</f>
        <v>168.87362637362639</v>
      </c>
      <c r="AI51" s="231">
        <f>+Janvier!AK51</f>
        <v>525.38461538461547</v>
      </c>
      <c r="AJ51" s="231">
        <f>+Janvier!AL51</f>
        <v>394.0384615384616</v>
      </c>
      <c r="AK51" s="231">
        <f>+Janvier!AM51</f>
        <v>394.0384615384616</v>
      </c>
      <c r="AL51" s="231">
        <f>+Janvier!AN51</f>
        <v>238.81118881118883</v>
      </c>
      <c r="AM51" s="231">
        <f>+Janvier!AO51</f>
        <v>147.76442307692309</v>
      </c>
      <c r="AN51" s="231">
        <f>+Janvier!AP51</f>
        <v>295.52884615384619</v>
      </c>
      <c r="AO51" s="231">
        <f>+Janvier!AQ51</f>
        <v>147.76442307692309</v>
      </c>
      <c r="AP51" s="231">
        <f>+Janvier!AR51</f>
        <v>147.76442307692309</v>
      </c>
      <c r="AQ51" s="231">
        <f>+Janvier!AS51</f>
        <v>262.69230769230774</v>
      </c>
      <c r="AR51" s="16">
        <f t="shared" si="78"/>
        <v>5</v>
      </c>
      <c r="AS51" s="16">
        <f t="shared" si="79"/>
        <v>5</v>
      </c>
      <c r="AT51" s="16">
        <f t="shared" si="80"/>
        <v>5</v>
      </c>
      <c r="AU51" s="16">
        <f t="shared" si="81"/>
        <v>5</v>
      </c>
      <c r="AV51" s="16">
        <f t="shared" si="82"/>
        <v>5</v>
      </c>
      <c r="AW51" s="16">
        <f t="shared" si="83"/>
        <v>7</v>
      </c>
      <c r="AX51" s="16">
        <f t="shared" si="84"/>
        <v>5</v>
      </c>
      <c r="AY51" s="16">
        <f t="shared" si="85"/>
        <v>5</v>
      </c>
      <c r="AZ51" s="16">
        <f t="shared" si="86"/>
        <v>5</v>
      </c>
      <c r="BA51" s="17">
        <f t="shared" si="87"/>
        <v>5</v>
      </c>
    </row>
    <row r="52" spans="1:53" ht="15.6" x14ac:dyDescent="0.3">
      <c r="A52" s="199" t="s">
        <v>54</v>
      </c>
      <c r="B52" s="94">
        <v>44075</v>
      </c>
      <c r="C52" s="94">
        <v>44104</v>
      </c>
      <c r="D52" s="107">
        <v>720</v>
      </c>
      <c r="E52" s="96">
        <v>1000</v>
      </c>
      <c r="F52" s="97">
        <v>0</v>
      </c>
      <c r="G52" s="95">
        <v>2160</v>
      </c>
      <c r="H52" s="96">
        <v>3120</v>
      </c>
      <c r="I52" s="105">
        <v>0</v>
      </c>
      <c r="J52" s="95">
        <v>1940</v>
      </c>
      <c r="K52" s="96">
        <v>2340</v>
      </c>
      <c r="L52" s="97">
        <v>0</v>
      </c>
      <c r="M52" s="95">
        <v>1526</v>
      </c>
      <c r="N52" s="96">
        <v>2330</v>
      </c>
      <c r="O52" s="97">
        <v>0</v>
      </c>
      <c r="P52" s="95">
        <v>897</v>
      </c>
      <c r="Q52" s="96">
        <v>1417</v>
      </c>
      <c r="R52" s="97">
        <v>0</v>
      </c>
      <c r="S52" s="95">
        <v>510</v>
      </c>
      <c r="T52" s="96">
        <v>880</v>
      </c>
      <c r="U52" s="97">
        <v>0</v>
      </c>
      <c r="V52" s="95">
        <v>860</v>
      </c>
      <c r="W52" s="96">
        <v>1750</v>
      </c>
      <c r="X52" s="97">
        <v>0</v>
      </c>
      <c r="Y52" s="95">
        <v>650</v>
      </c>
      <c r="Z52" s="96">
        <v>880</v>
      </c>
      <c r="AA52" s="97">
        <v>0</v>
      </c>
      <c r="AB52" s="95">
        <v>650</v>
      </c>
      <c r="AC52" s="96">
        <v>880</v>
      </c>
      <c r="AD52" s="97">
        <v>0</v>
      </c>
      <c r="AE52" s="95">
        <v>1200</v>
      </c>
      <c r="AF52" s="96">
        <v>1560</v>
      </c>
      <c r="AG52" s="105">
        <v>0</v>
      </c>
      <c r="AH52" s="231">
        <f>+Janvier!AJ52</f>
        <v>1001.7445054945053</v>
      </c>
      <c r="AI52" s="231">
        <f>+Janvier!AK52</f>
        <v>3116.5384615384614</v>
      </c>
      <c r="AJ52" s="231">
        <f>+Janvier!AL52</f>
        <v>2337.4038461538462</v>
      </c>
      <c r="AK52" s="231">
        <f>+Janvier!AM52</f>
        <v>2337.4038461538462</v>
      </c>
      <c r="AL52" s="231">
        <f>+Janvier!AN52</f>
        <v>1416.6083916083917</v>
      </c>
      <c r="AM52" s="231">
        <f>+Janvier!AO52</f>
        <v>876.52644230769226</v>
      </c>
      <c r="AN52" s="231">
        <f>+Janvier!AP52</f>
        <v>1753.0528846153845</v>
      </c>
      <c r="AO52" s="231">
        <f>+Janvier!AQ52</f>
        <v>876.52644230769226</v>
      </c>
      <c r="AP52" s="231">
        <f>+Janvier!AR52</f>
        <v>876.52644230769226</v>
      </c>
      <c r="AQ52" s="231">
        <f>+Janvier!AS52</f>
        <v>1558.2692307692307</v>
      </c>
      <c r="AR52" s="16">
        <f t="shared" si="78"/>
        <v>5</v>
      </c>
      <c r="AS52" s="16">
        <f t="shared" si="79"/>
        <v>5</v>
      </c>
      <c r="AT52" s="16">
        <f t="shared" si="80"/>
        <v>5</v>
      </c>
      <c r="AU52" s="16">
        <f t="shared" si="81"/>
        <v>5</v>
      </c>
      <c r="AV52" s="16">
        <f t="shared" si="82"/>
        <v>5</v>
      </c>
      <c r="AW52" s="16">
        <f t="shared" si="83"/>
        <v>5</v>
      </c>
      <c r="AX52" s="16">
        <f t="shared" si="84"/>
        <v>5</v>
      </c>
      <c r="AY52" s="16">
        <f t="shared" si="85"/>
        <v>5</v>
      </c>
      <c r="AZ52" s="16">
        <f t="shared" si="86"/>
        <v>5</v>
      </c>
      <c r="BA52" s="17">
        <f t="shared" si="87"/>
        <v>5</v>
      </c>
    </row>
    <row r="53" spans="1:53" ht="16.2" thickBot="1" x14ac:dyDescent="0.35">
      <c r="A53" s="200" t="s">
        <v>55</v>
      </c>
      <c r="B53" s="255">
        <v>44075</v>
      </c>
      <c r="C53" s="255">
        <v>44104</v>
      </c>
      <c r="D53" s="249">
        <v>160</v>
      </c>
      <c r="E53" s="260">
        <v>280</v>
      </c>
      <c r="F53" s="261">
        <v>0</v>
      </c>
      <c r="G53" s="111">
        <v>280</v>
      </c>
      <c r="H53" s="109">
        <v>1000</v>
      </c>
      <c r="I53" s="112">
        <v>0</v>
      </c>
      <c r="J53" s="111">
        <v>210</v>
      </c>
      <c r="K53" s="109">
        <v>700</v>
      </c>
      <c r="L53" s="110">
        <v>0</v>
      </c>
      <c r="M53" s="111">
        <v>100</v>
      </c>
      <c r="N53" s="109">
        <v>612</v>
      </c>
      <c r="O53" s="110">
        <v>0</v>
      </c>
      <c r="P53" s="111">
        <v>100</v>
      </c>
      <c r="Q53" s="109">
        <v>403</v>
      </c>
      <c r="R53" s="110">
        <v>0</v>
      </c>
      <c r="S53" s="111">
        <v>60</v>
      </c>
      <c r="T53" s="109">
        <v>280</v>
      </c>
      <c r="U53" s="110">
        <v>0</v>
      </c>
      <c r="V53" s="111">
        <v>0</v>
      </c>
      <c r="W53" s="109">
        <v>680</v>
      </c>
      <c r="X53" s="110">
        <v>0</v>
      </c>
      <c r="Y53" s="111">
        <v>30</v>
      </c>
      <c r="Z53" s="109">
        <v>220</v>
      </c>
      <c r="AA53" s="110">
        <v>0</v>
      </c>
      <c r="AB53" s="111">
        <v>40</v>
      </c>
      <c r="AC53" s="109">
        <v>210</v>
      </c>
      <c r="AD53" s="110">
        <v>0</v>
      </c>
      <c r="AE53" s="111">
        <v>170</v>
      </c>
      <c r="AF53" s="109">
        <v>500</v>
      </c>
      <c r="AG53" s="112">
        <v>0</v>
      </c>
      <c r="AH53" s="231">
        <f>+Janvier!AJ53</f>
        <v>269.25824175824175</v>
      </c>
      <c r="AI53" s="231">
        <f>+Janvier!AK53</f>
        <v>837.69230769230774</v>
      </c>
      <c r="AJ53" s="231">
        <f>+Janvier!AL53</f>
        <v>628.26923076923083</v>
      </c>
      <c r="AK53" s="231">
        <f>+Janvier!AM53</f>
        <v>628.26923076923083</v>
      </c>
      <c r="AL53" s="231">
        <f>+Janvier!AN53</f>
        <v>380.76923076923083</v>
      </c>
      <c r="AM53" s="231">
        <f>+Janvier!AO53</f>
        <v>235.60096153846155</v>
      </c>
      <c r="AN53" s="231">
        <f>+Janvier!AP53</f>
        <v>471.20192307692309</v>
      </c>
      <c r="AO53" s="231">
        <f>+Janvier!AQ53</f>
        <v>235.60096153846155</v>
      </c>
      <c r="AP53" s="231">
        <f>+Janvier!AR53</f>
        <v>235.60096153846155</v>
      </c>
      <c r="AQ53" s="231">
        <f>+Janvier!AS53</f>
        <v>418.84615384615387</v>
      </c>
      <c r="AR53" s="32">
        <f t="shared" si="78"/>
        <v>5</v>
      </c>
      <c r="AS53" s="32">
        <f t="shared" si="79"/>
        <v>6</v>
      </c>
      <c r="AT53" s="32">
        <f t="shared" si="80"/>
        <v>6</v>
      </c>
      <c r="AU53" s="32">
        <f t="shared" si="81"/>
        <v>5</v>
      </c>
      <c r="AV53" s="32">
        <f t="shared" si="82"/>
        <v>5</v>
      </c>
      <c r="AW53" s="32">
        <f t="shared" si="83"/>
        <v>6</v>
      </c>
      <c r="AX53" s="32">
        <f t="shared" si="84"/>
        <v>7</v>
      </c>
      <c r="AY53" s="32">
        <f t="shared" si="85"/>
        <v>5</v>
      </c>
      <c r="AZ53" s="32">
        <f t="shared" si="86"/>
        <v>4</v>
      </c>
      <c r="BA53" s="33">
        <f t="shared" si="87"/>
        <v>6</v>
      </c>
    </row>
    <row r="54" spans="1:53" ht="15.6" x14ac:dyDescent="0.3">
      <c r="A54" s="201" t="s">
        <v>146</v>
      </c>
      <c r="B54" s="256">
        <v>44075</v>
      </c>
      <c r="C54" s="259">
        <v>44104</v>
      </c>
      <c r="D54" s="125">
        <v>30000</v>
      </c>
      <c r="E54" s="123">
        <v>39740</v>
      </c>
      <c r="F54" s="124">
        <v>0</v>
      </c>
      <c r="G54" s="125">
        <v>20500</v>
      </c>
      <c r="H54" s="123">
        <v>99700</v>
      </c>
      <c r="I54" s="124">
        <v>0</v>
      </c>
      <c r="J54" s="125">
        <v>35200</v>
      </c>
      <c r="K54" s="123">
        <v>72730</v>
      </c>
      <c r="L54" s="124">
        <v>0</v>
      </c>
      <c r="M54" s="125">
        <v>33200</v>
      </c>
      <c r="N54" s="123">
        <v>47708</v>
      </c>
      <c r="O54" s="124">
        <v>0</v>
      </c>
      <c r="P54" s="125">
        <v>30300</v>
      </c>
      <c r="Q54" s="123">
        <v>49200</v>
      </c>
      <c r="R54" s="124">
        <v>0</v>
      </c>
      <c r="S54" s="125">
        <v>11100</v>
      </c>
      <c r="T54" s="123">
        <v>24080</v>
      </c>
      <c r="U54" s="124">
        <v>0</v>
      </c>
      <c r="V54" s="125">
        <v>19250</v>
      </c>
      <c r="W54" s="123">
        <v>69860</v>
      </c>
      <c r="X54" s="124">
        <v>0</v>
      </c>
      <c r="Y54" s="125">
        <v>18500</v>
      </c>
      <c r="Z54" s="123">
        <v>32720</v>
      </c>
      <c r="AA54" s="124">
        <v>0</v>
      </c>
      <c r="AB54" s="125">
        <v>21800</v>
      </c>
      <c r="AC54" s="123">
        <v>33660</v>
      </c>
      <c r="AD54" s="124">
        <v>0</v>
      </c>
      <c r="AE54" s="125">
        <v>20000</v>
      </c>
      <c r="AF54" s="123">
        <v>66250</v>
      </c>
      <c r="AG54" s="124">
        <v>0</v>
      </c>
      <c r="AH54" s="265">
        <f>+Janvier!AJ54</f>
        <v>63310.376250000001</v>
      </c>
      <c r="AI54" s="231">
        <f>+Janvier!AK54</f>
        <v>217816.00961538462</v>
      </c>
      <c r="AJ54" s="231">
        <f>+Janvier!AL54</f>
        <v>145065.46240384618</v>
      </c>
      <c r="AK54" s="231">
        <f>+Janvier!AM54</f>
        <v>145065.46240384618</v>
      </c>
      <c r="AL54" s="231">
        <f>+Janvier!AN54</f>
        <v>91482.724038461543</v>
      </c>
      <c r="AM54" s="231">
        <f>+Janvier!AO54</f>
        <v>54454.002403846156</v>
      </c>
      <c r="AN54" s="231">
        <f>+Janvier!AP54</f>
        <v>108908.00480769231</v>
      </c>
      <c r="AO54" s="231">
        <f>+Janvier!AQ54</f>
        <v>54454.002403846156</v>
      </c>
      <c r="AP54" s="231">
        <f>+Janvier!AR54</f>
        <v>54454.002403846156</v>
      </c>
      <c r="AQ54" s="231">
        <f>+Janvier!AS54</f>
        <v>98286.038653846175</v>
      </c>
      <c r="AR54" s="16">
        <f>ROUND(E54/(AH54/15),0)</f>
        <v>9</v>
      </c>
      <c r="AS54" s="16">
        <f t="shared" ref="AS54" si="88">ROUND(H54/(AI54/15),0)</f>
        <v>7</v>
      </c>
      <c r="AT54" s="16">
        <f t="shared" ref="AT54" si="89">ROUND(K54/(AJ54/15),0)</f>
        <v>8</v>
      </c>
      <c r="AU54" s="16">
        <f t="shared" ref="AU54" si="90">ROUND(N54/(AK54/15),0)</f>
        <v>5</v>
      </c>
      <c r="AV54" s="16">
        <f t="shared" ref="AV54" si="91">ROUND(Q54/(AL54/15),0)</f>
        <v>8</v>
      </c>
      <c r="AW54" s="16">
        <f t="shared" ref="AW54" si="92">ROUND(T54/(AM54/15),0)</f>
        <v>7</v>
      </c>
      <c r="AX54" s="16">
        <f t="shared" ref="AX54" si="93">ROUND(W54/(AN54/15),0)</f>
        <v>10</v>
      </c>
      <c r="AY54" s="16">
        <f t="shared" ref="AY54" si="94">ROUND(Z54/(AO54/15),0)</f>
        <v>9</v>
      </c>
      <c r="AZ54" s="16">
        <f t="shared" ref="AZ54" si="95">ROUND(AC54/(AP54/15),0)</f>
        <v>9</v>
      </c>
      <c r="BA54" s="17">
        <f t="shared" ref="BA54" si="96">ROUND(AF54/(AQ54/15),0)</f>
        <v>10</v>
      </c>
    </row>
    <row r="55" spans="1:53" ht="15.6" x14ac:dyDescent="0.3">
      <c r="A55" s="199" t="s">
        <v>21</v>
      </c>
      <c r="B55" s="257">
        <v>44075</v>
      </c>
      <c r="C55" s="233">
        <v>44104</v>
      </c>
      <c r="D55" s="95">
        <v>740</v>
      </c>
      <c r="E55" s="96">
        <v>2500</v>
      </c>
      <c r="F55" s="97">
        <v>0</v>
      </c>
      <c r="G55" s="95">
        <v>2100</v>
      </c>
      <c r="H55" s="96">
        <v>6340</v>
      </c>
      <c r="I55" s="97">
        <v>0</v>
      </c>
      <c r="J55" s="95">
        <v>1810</v>
      </c>
      <c r="K55" s="96">
        <v>4860</v>
      </c>
      <c r="L55" s="97">
        <v>0</v>
      </c>
      <c r="M55" s="95">
        <v>1460</v>
      </c>
      <c r="N55" s="96">
        <v>4768</v>
      </c>
      <c r="O55" s="97">
        <v>0</v>
      </c>
      <c r="P55" s="95">
        <v>1100</v>
      </c>
      <c r="Q55" s="96">
        <v>3147</v>
      </c>
      <c r="R55" s="97">
        <v>0</v>
      </c>
      <c r="S55" s="95">
        <v>615</v>
      </c>
      <c r="T55" s="96">
        <v>1330</v>
      </c>
      <c r="U55" s="97">
        <v>0</v>
      </c>
      <c r="V55" s="95">
        <v>630</v>
      </c>
      <c r="W55" s="96">
        <v>3300</v>
      </c>
      <c r="X55" s="97">
        <v>0</v>
      </c>
      <c r="Y55" s="95">
        <v>610</v>
      </c>
      <c r="Z55" s="96">
        <v>1780</v>
      </c>
      <c r="AA55" s="97">
        <v>0</v>
      </c>
      <c r="AB55" s="95">
        <v>730</v>
      </c>
      <c r="AC55" s="96">
        <v>2060</v>
      </c>
      <c r="AD55" s="97">
        <v>0</v>
      </c>
      <c r="AE55" s="95">
        <v>1160</v>
      </c>
      <c r="AF55" s="96">
        <v>2900</v>
      </c>
      <c r="AG55" s="97">
        <v>0</v>
      </c>
      <c r="AH55" s="265">
        <f>+Janvier!AJ55</f>
        <v>1099.4093406593406</v>
      </c>
      <c r="AI55" s="231">
        <f>+Janvier!AK55</f>
        <v>3420.3846153846152</v>
      </c>
      <c r="AJ55" s="231">
        <f>+Janvier!AL55</f>
        <v>2565.2884615384614</v>
      </c>
      <c r="AK55" s="231">
        <f>+Janvier!AM55</f>
        <v>2565.2884615384614</v>
      </c>
      <c r="AL55" s="231">
        <f>+Janvier!AN55</f>
        <v>1554.7202797202797</v>
      </c>
      <c r="AM55" s="231">
        <f>+Janvier!AO55</f>
        <v>961.98317307692309</v>
      </c>
      <c r="AN55" s="231">
        <f>+Janvier!AP55</f>
        <v>1923.9663461538462</v>
      </c>
      <c r="AO55" s="231">
        <f>+Janvier!AQ55</f>
        <v>961.98317307692309</v>
      </c>
      <c r="AP55" s="231">
        <f>+Janvier!AR55</f>
        <v>961.98317307692309</v>
      </c>
      <c r="AQ55" s="231">
        <f>+Janvier!AS55</f>
        <v>1710.1923076923076</v>
      </c>
      <c r="AR55" s="16">
        <f t="shared" ref="AR55:AR67" si="97">ROUND(E55/(AH55/5),0)</f>
        <v>11</v>
      </c>
      <c r="AS55" s="16">
        <f t="shared" ref="AS55:AS67" si="98">ROUND(H55/(AI55/5),0)</f>
        <v>9</v>
      </c>
      <c r="AT55" s="16">
        <f t="shared" ref="AT55:AT67" si="99">ROUND(K55/(AJ55/5),0)</f>
        <v>9</v>
      </c>
      <c r="AU55" s="16">
        <f t="shared" ref="AU55:AU67" si="100">ROUND(N55/(AK55/5),0)</f>
        <v>9</v>
      </c>
      <c r="AV55" s="16">
        <f t="shared" ref="AV55:AV67" si="101">ROUND(Q55/(AL55/5),0)</f>
        <v>10</v>
      </c>
      <c r="AW55" s="16">
        <f t="shared" ref="AW55:AW67" si="102">ROUND(T55/(AM55/5),0)</f>
        <v>7</v>
      </c>
      <c r="AX55" s="16">
        <f t="shared" ref="AX55:AX67" si="103">ROUND(W55/(AN55/5),0)</f>
        <v>9</v>
      </c>
      <c r="AY55" s="16">
        <f t="shared" ref="AY55:AY67" si="104">ROUND(Z55/(AO55/5),0)</f>
        <v>9</v>
      </c>
      <c r="AZ55" s="16">
        <f t="shared" ref="AZ55:AZ67" si="105">ROUND(AC55/(AP55/5),0)</f>
        <v>11</v>
      </c>
      <c r="BA55" s="17">
        <f t="shared" ref="BA55:BA67" si="106">ROUND(AF55/(AQ55/5),0)</f>
        <v>8</v>
      </c>
    </row>
    <row r="56" spans="1:53" ht="15.6" x14ac:dyDescent="0.3">
      <c r="A56" s="199" t="s">
        <v>22</v>
      </c>
      <c r="B56" s="257">
        <v>44075</v>
      </c>
      <c r="C56" s="233">
        <v>44104</v>
      </c>
      <c r="D56" s="95">
        <v>500</v>
      </c>
      <c r="E56" s="96">
        <v>500</v>
      </c>
      <c r="F56" s="97">
        <v>0</v>
      </c>
      <c r="G56" s="95">
        <v>1500</v>
      </c>
      <c r="H56" s="96">
        <v>1860</v>
      </c>
      <c r="I56" s="97">
        <v>0</v>
      </c>
      <c r="J56" s="95">
        <v>1340</v>
      </c>
      <c r="K56" s="96">
        <v>1500</v>
      </c>
      <c r="L56" s="97">
        <v>0</v>
      </c>
      <c r="M56" s="95">
        <v>1400</v>
      </c>
      <c r="N56" s="96">
        <v>1488</v>
      </c>
      <c r="O56" s="97">
        <v>0</v>
      </c>
      <c r="P56" s="95">
        <v>600</v>
      </c>
      <c r="Q56" s="96">
        <v>620</v>
      </c>
      <c r="R56" s="97">
        <v>0</v>
      </c>
      <c r="S56" s="95">
        <v>315</v>
      </c>
      <c r="T56" s="96">
        <v>740</v>
      </c>
      <c r="U56" s="97">
        <v>0</v>
      </c>
      <c r="V56" s="95">
        <v>600</v>
      </c>
      <c r="W56" s="96">
        <v>800</v>
      </c>
      <c r="X56" s="97">
        <v>0</v>
      </c>
      <c r="Y56" s="95">
        <v>230</v>
      </c>
      <c r="Z56" s="96">
        <v>520</v>
      </c>
      <c r="AA56" s="97">
        <v>0</v>
      </c>
      <c r="AB56" s="95">
        <v>400</v>
      </c>
      <c r="AC56" s="96">
        <v>450</v>
      </c>
      <c r="AD56" s="97">
        <v>0</v>
      </c>
      <c r="AE56" s="95">
        <v>600</v>
      </c>
      <c r="AF56" s="96">
        <v>800</v>
      </c>
      <c r="AG56" s="97">
        <v>0</v>
      </c>
      <c r="AH56" s="265">
        <f>+Janvier!AJ56</f>
        <v>434.54670329670336</v>
      </c>
      <c r="AI56" s="231">
        <f>+Janvier!AK56</f>
        <v>1351.9230769230767</v>
      </c>
      <c r="AJ56" s="231">
        <f>+Janvier!AL56</f>
        <v>1013.9423076923077</v>
      </c>
      <c r="AK56" s="231">
        <f>+Janvier!AM56</f>
        <v>1013.9423076923077</v>
      </c>
      <c r="AL56" s="231">
        <f>+Janvier!AN56</f>
        <v>614.51048951048949</v>
      </c>
      <c r="AM56" s="231">
        <f>+Janvier!AO56</f>
        <v>380.22836538461542</v>
      </c>
      <c r="AN56" s="231">
        <f>+Janvier!AP56</f>
        <v>760.45673076923083</v>
      </c>
      <c r="AO56" s="231">
        <f>+Janvier!AQ56</f>
        <v>380.22836538461542</v>
      </c>
      <c r="AP56" s="231">
        <f>+Janvier!AR56</f>
        <v>380.22836538461542</v>
      </c>
      <c r="AQ56" s="231">
        <f>+Janvier!AS56</f>
        <v>675.96153846153834</v>
      </c>
      <c r="AR56" s="16">
        <f t="shared" si="97"/>
        <v>6</v>
      </c>
      <c r="AS56" s="16">
        <f t="shared" si="98"/>
        <v>7</v>
      </c>
      <c r="AT56" s="16">
        <f t="shared" si="99"/>
        <v>7</v>
      </c>
      <c r="AU56" s="16">
        <f t="shared" si="100"/>
        <v>7</v>
      </c>
      <c r="AV56" s="16">
        <f t="shared" si="101"/>
        <v>5</v>
      </c>
      <c r="AW56" s="16">
        <f t="shared" si="102"/>
        <v>10</v>
      </c>
      <c r="AX56" s="16">
        <f t="shared" si="103"/>
        <v>5</v>
      </c>
      <c r="AY56" s="16">
        <f t="shared" si="104"/>
        <v>7</v>
      </c>
      <c r="AZ56" s="16">
        <f t="shared" si="105"/>
        <v>6</v>
      </c>
      <c r="BA56" s="17">
        <f t="shared" si="106"/>
        <v>6</v>
      </c>
    </row>
    <row r="57" spans="1:53" ht="15.6" x14ac:dyDescent="0.3">
      <c r="A57" s="199" t="s">
        <v>25</v>
      </c>
      <c r="B57" s="257">
        <v>44075</v>
      </c>
      <c r="C57" s="233">
        <v>44104</v>
      </c>
      <c r="D57" s="95">
        <v>340</v>
      </c>
      <c r="E57" s="96">
        <v>960</v>
      </c>
      <c r="F57" s="97">
        <v>0</v>
      </c>
      <c r="G57" s="95">
        <v>840</v>
      </c>
      <c r="H57" s="96">
        <v>1920</v>
      </c>
      <c r="I57" s="97">
        <v>0</v>
      </c>
      <c r="J57" s="95">
        <v>760</v>
      </c>
      <c r="K57" s="96">
        <v>1430</v>
      </c>
      <c r="L57" s="97">
        <v>0</v>
      </c>
      <c r="M57" s="95">
        <v>668</v>
      </c>
      <c r="N57" s="96">
        <v>1436</v>
      </c>
      <c r="O57" s="97">
        <v>0</v>
      </c>
      <c r="P57" s="95">
        <v>450</v>
      </c>
      <c r="Q57" s="96">
        <v>931</v>
      </c>
      <c r="R57" s="97">
        <v>0</v>
      </c>
      <c r="S57" s="95">
        <v>250</v>
      </c>
      <c r="T57" s="96">
        <v>480</v>
      </c>
      <c r="U57" s="97">
        <v>0</v>
      </c>
      <c r="V57" s="95">
        <v>380</v>
      </c>
      <c r="W57" s="96">
        <v>820</v>
      </c>
      <c r="X57" s="97">
        <v>0</v>
      </c>
      <c r="Y57" s="95">
        <v>220</v>
      </c>
      <c r="Z57" s="96">
        <v>570</v>
      </c>
      <c r="AA57" s="97">
        <v>0</v>
      </c>
      <c r="AB57" s="95">
        <v>220</v>
      </c>
      <c r="AC57" s="96">
        <v>570</v>
      </c>
      <c r="AD57" s="97">
        <v>0</v>
      </c>
      <c r="AE57" s="95">
        <v>320</v>
      </c>
      <c r="AF57" s="96">
        <v>990</v>
      </c>
      <c r="AG57" s="97">
        <v>0</v>
      </c>
      <c r="AH57" s="265">
        <f>+Janvier!AJ57</f>
        <v>816.30494505494516</v>
      </c>
      <c r="AI57" s="231">
        <f>+Janvier!AK57</f>
        <v>2539.6153846153848</v>
      </c>
      <c r="AJ57" s="231">
        <f>+Janvier!AL57</f>
        <v>1904.7115384615383</v>
      </c>
      <c r="AK57" s="231">
        <f>+Janvier!AM57</f>
        <v>1904.7115384615383</v>
      </c>
      <c r="AL57" s="231">
        <f>+Janvier!AN57</f>
        <v>1154.3706293706296</v>
      </c>
      <c r="AM57" s="231">
        <f>+Janvier!AO57</f>
        <v>714.26682692307691</v>
      </c>
      <c r="AN57" s="231">
        <f>+Janvier!AP57</f>
        <v>1428.5336538461538</v>
      </c>
      <c r="AO57" s="231">
        <f>+Janvier!AQ57</f>
        <v>714.26682692307691</v>
      </c>
      <c r="AP57" s="231">
        <f>+Janvier!AR57</f>
        <v>714.26682692307691</v>
      </c>
      <c r="AQ57" s="231">
        <f>+Janvier!AS57</f>
        <v>1269.8076923076924</v>
      </c>
      <c r="AR57" s="16">
        <f t="shared" si="97"/>
        <v>6</v>
      </c>
      <c r="AS57" s="16">
        <f t="shared" si="98"/>
        <v>4</v>
      </c>
      <c r="AT57" s="16">
        <f t="shared" si="99"/>
        <v>4</v>
      </c>
      <c r="AU57" s="16">
        <f t="shared" si="100"/>
        <v>4</v>
      </c>
      <c r="AV57" s="16">
        <f t="shared" si="101"/>
        <v>4</v>
      </c>
      <c r="AW57" s="16">
        <f t="shared" si="102"/>
        <v>3</v>
      </c>
      <c r="AX57" s="16">
        <f t="shared" si="103"/>
        <v>3</v>
      </c>
      <c r="AY57" s="16">
        <f t="shared" si="104"/>
        <v>4</v>
      </c>
      <c r="AZ57" s="16">
        <f t="shared" si="105"/>
        <v>4</v>
      </c>
      <c r="BA57" s="17">
        <f t="shared" si="106"/>
        <v>4</v>
      </c>
    </row>
    <row r="58" spans="1:53" ht="15.6" x14ac:dyDescent="0.3">
      <c r="A58" s="199" t="s">
        <v>23</v>
      </c>
      <c r="B58" s="257">
        <v>44075</v>
      </c>
      <c r="C58" s="233">
        <v>44104</v>
      </c>
      <c r="D58" s="95">
        <v>900</v>
      </c>
      <c r="E58" s="96">
        <v>1200</v>
      </c>
      <c r="F58" s="97">
        <v>0</v>
      </c>
      <c r="G58" s="95">
        <v>2200</v>
      </c>
      <c r="H58" s="96">
        <v>2480</v>
      </c>
      <c r="I58" s="97">
        <v>0</v>
      </c>
      <c r="J58" s="95">
        <v>2300</v>
      </c>
      <c r="K58" s="96">
        <v>3310</v>
      </c>
      <c r="L58" s="97">
        <v>0</v>
      </c>
      <c r="M58" s="95">
        <v>2200</v>
      </c>
      <c r="N58" s="96">
        <v>3328</v>
      </c>
      <c r="O58" s="97">
        <v>0</v>
      </c>
      <c r="P58" s="95">
        <v>800</v>
      </c>
      <c r="Q58" s="96">
        <v>1618</v>
      </c>
      <c r="R58" s="97">
        <v>0</v>
      </c>
      <c r="S58" s="95">
        <v>500</v>
      </c>
      <c r="T58" s="96">
        <v>920</v>
      </c>
      <c r="U58" s="97">
        <v>0</v>
      </c>
      <c r="V58" s="95">
        <v>60</v>
      </c>
      <c r="W58" s="96">
        <v>2000</v>
      </c>
      <c r="X58" s="97">
        <v>0</v>
      </c>
      <c r="Y58" s="95">
        <v>300</v>
      </c>
      <c r="Z58" s="96">
        <v>960</v>
      </c>
      <c r="AA58" s="97">
        <v>0</v>
      </c>
      <c r="AB58" s="95">
        <v>400</v>
      </c>
      <c r="AC58" s="96">
        <v>940</v>
      </c>
      <c r="AD58" s="97">
        <v>0</v>
      </c>
      <c r="AE58" s="95">
        <v>300</v>
      </c>
      <c r="AF58" s="96">
        <v>1870</v>
      </c>
      <c r="AG58" s="97">
        <v>0</v>
      </c>
      <c r="AH58" s="265">
        <f>+Janvier!AJ58</f>
        <v>510.08241758241758</v>
      </c>
      <c r="AI58" s="231">
        <f>+Janvier!AK58</f>
        <v>1586.9230769230767</v>
      </c>
      <c r="AJ58" s="231">
        <f>+Janvier!AL58</f>
        <v>1190.1923076923078</v>
      </c>
      <c r="AK58" s="231">
        <f>+Janvier!AM58</f>
        <v>1190.1923076923078</v>
      </c>
      <c r="AL58" s="231">
        <f>+Janvier!AN58</f>
        <v>721.32867132867148</v>
      </c>
      <c r="AM58" s="231">
        <f>+Janvier!AO58</f>
        <v>446.32211538461542</v>
      </c>
      <c r="AN58" s="231">
        <f>+Janvier!AP58</f>
        <v>892.64423076923083</v>
      </c>
      <c r="AO58" s="231">
        <f>+Janvier!AQ58</f>
        <v>446.32211538461542</v>
      </c>
      <c r="AP58" s="231">
        <f>+Janvier!AR58</f>
        <v>446.32211538461542</v>
      </c>
      <c r="AQ58" s="231">
        <f>+Janvier!AS58</f>
        <v>793.46153846153834</v>
      </c>
      <c r="AR58" s="16">
        <f t="shared" si="97"/>
        <v>12</v>
      </c>
      <c r="AS58" s="16">
        <f t="shared" si="98"/>
        <v>8</v>
      </c>
      <c r="AT58" s="16">
        <f t="shared" si="99"/>
        <v>14</v>
      </c>
      <c r="AU58" s="16">
        <f t="shared" si="100"/>
        <v>14</v>
      </c>
      <c r="AV58" s="16">
        <f t="shared" si="101"/>
        <v>11</v>
      </c>
      <c r="AW58" s="16">
        <f t="shared" si="102"/>
        <v>10</v>
      </c>
      <c r="AX58" s="16">
        <f t="shared" si="103"/>
        <v>11</v>
      </c>
      <c r="AY58" s="16">
        <f t="shared" si="104"/>
        <v>11</v>
      </c>
      <c r="AZ58" s="16">
        <f t="shared" si="105"/>
        <v>11</v>
      </c>
      <c r="BA58" s="17">
        <f t="shared" si="106"/>
        <v>12</v>
      </c>
    </row>
    <row r="59" spans="1:53" ht="15.6" x14ac:dyDescent="0.3">
      <c r="A59" s="199" t="s">
        <v>24</v>
      </c>
      <c r="B59" s="257">
        <v>44075</v>
      </c>
      <c r="C59" s="233">
        <v>44104</v>
      </c>
      <c r="D59" s="95">
        <v>500</v>
      </c>
      <c r="E59" s="96">
        <v>680</v>
      </c>
      <c r="F59" s="97">
        <v>0</v>
      </c>
      <c r="G59" s="95">
        <v>1800</v>
      </c>
      <c r="H59" s="96">
        <v>1920</v>
      </c>
      <c r="I59" s="97">
        <v>0</v>
      </c>
      <c r="J59" s="95">
        <v>950</v>
      </c>
      <c r="K59" s="96">
        <v>1440</v>
      </c>
      <c r="L59" s="97">
        <v>0</v>
      </c>
      <c r="M59" s="95">
        <v>1132</v>
      </c>
      <c r="N59" s="96">
        <v>1444</v>
      </c>
      <c r="O59" s="97">
        <v>0</v>
      </c>
      <c r="P59" s="95">
        <v>1000</v>
      </c>
      <c r="Q59" s="96">
        <v>937</v>
      </c>
      <c r="R59" s="97">
        <v>0</v>
      </c>
      <c r="S59" s="95">
        <v>400</v>
      </c>
      <c r="T59" s="96">
        <v>500</v>
      </c>
      <c r="U59" s="97">
        <v>0</v>
      </c>
      <c r="V59" s="95">
        <v>1200</v>
      </c>
      <c r="W59" s="96">
        <v>1150</v>
      </c>
      <c r="X59" s="97">
        <v>0</v>
      </c>
      <c r="Y59" s="95">
        <v>500</v>
      </c>
      <c r="Z59" s="96">
        <v>570</v>
      </c>
      <c r="AA59" s="97">
        <v>0</v>
      </c>
      <c r="AB59" s="95">
        <v>500</v>
      </c>
      <c r="AC59" s="96">
        <v>610</v>
      </c>
      <c r="AD59" s="97">
        <v>0</v>
      </c>
      <c r="AE59" s="95">
        <v>650</v>
      </c>
      <c r="AF59" s="96">
        <v>1010</v>
      </c>
      <c r="AG59" s="97">
        <v>0</v>
      </c>
      <c r="AH59" s="265">
        <f>+Janvier!AJ59</f>
        <v>646.8131868131868</v>
      </c>
      <c r="AI59" s="231">
        <f>+Janvier!AK59</f>
        <v>2012.3076923076924</v>
      </c>
      <c r="AJ59" s="231">
        <f>+Janvier!AL59</f>
        <v>1509.2307692307693</v>
      </c>
      <c r="AK59" s="231">
        <f>+Janvier!AM59</f>
        <v>1509.2307692307693</v>
      </c>
      <c r="AL59" s="231">
        <f>+Janvier!AN59</f>
        <v>914.68531468531478</v>
      </c>
      <c r="AM59" s="231">
        <f>+Janvier!AO59</f>
        <v>565.96153846153845</v>
      </c>
      <c r="AN59" s="231">
        <f>+Janvier!AP59</f>
        <v>1131.9230769230769</v>
      </c>
      <c r="AO59" s="231">
        <f>+Janvier!AQ59</f>
        <v>565.96153846153845</v>
      </c>
      <c r="AP59" s="231">
        <f>+Janvier!AR59</f>
        <v>565.96153846153845</v>
      </c>
      <c r="AQ59" s="231">
        <f>+Janvier!AS59</f>
        <v>1006.1538461538462</v>
      </c>
      <c r="AR59" s="16">
        <f t="shared" si="97"/>
        <v>5</v>
      </c>
      <c r="AS59" s="16">
        <f t="shared" si="98"/>
        <v>5</v>
      </c>
      <c r="AT59" s="16">
        <f t="shared" si="99"/>
        <v>5</v>
      </c>
      <c r="AU59" s="16">
        <f t="shared" si="100"/>
        <v>5</v>
      </c>
      <c r="AV59" s="16">
        <f t="shared" si="101"/>
        <v>5</v>
      </c>
      <c r="AW59" s="16">
        <f t="shared" si="102"/>
        <v>4</v>
      </c>
      <c r="AX59" s="16">
        <f t="shared" si="103"/>
        <v>5</v>
      </c>
      <c r="AY59" s="16">
        <f t="shared" si="104"/>
        <v>5</v>
      </c>
      <c r="AZ59" s="16">
        <f t="shared" si="105"/>
        <v>5</v>
      </c>
      <c r="BA59" s="17">
        <f t="shared" si="106"/>
        <v>5</v>
      </c>
    </row>
    <row r="60" spans="1:53" ht="15.6" x14ac:dyDescent="0.3">
      <c r="A60" s="199" t="s">
        <v>26</v>
      </c>
      <c r="B60" s="257">
        <v>44075</v>
      </c>
      <c r="C60" s="233">
        <v>44104</v>
      </c>
      <c r="D60" s="95">
        <v>2000</v>
      </c>
      <c r="E60" s="96">
        <v>2560</v>
      </c>
      <c r="F60" s="97">
        <v>0</v>
      </c>
      <c r="G60" s="95">
        <v>5500</v>
      </c>
      <c r="H60" s="96">
        <v>6880</v>
      </c>
      <c r="I60" s="97">
        <v>0</v>
      </c>
      <c r="J60" s="95">
        <v>4100</v>
      </c>
      <c r="K60" s="96">
        <v>5700</v>
      </c>
      <c r="L60" s="97">
        <v>0</v>
      </c>
      <c r="M60" s="95">
        <v>4000</v>
      </c>
      <c r="N60" s="96">
        <v>4748</v>
      </c>
      <c r="O60" s="97">
        <v>0</v>
      </c>
      <c r="P60" s="95">
        <v>2900</v>
      </c>
      <c r="Q60" s="96">
        <v>3438</v>
      </c>
      <c r="R60" s="97">
        <v>0</v>
      </c>
      <c r="S60" s="95">
        <v>1300</v>
      </c>
      <c r="T60" s="96">
        <v>1920</v>
      </c>
      <c r="U60" s="97">
        <v>0</v>
      </c>
      <c r="V60" s="95">
        <v>2000</v>
      </c>
      <c r="W60" s="96">
        <v>3550</v>
      </c>
      <c r="X60" s="97">
        <v>0</v>
      </c>
      <c r="Y60" s="95">
        <v>1400</v>
      </c>
      <c r="Z60" s="96">
        <v>2150</v>
      </c>
      <c r="AA60" s="97">
        <v>0</v>
      </c>
      <c r="AB60" s="95">
        <v>1400</v>
      </c>
      <c r="AC60" s="96">
        <v>2130</v>
      </c>
      <c r="AD60" s="97">
        <v>0</v>
      </c>
      <c r="AE60" s="95">
        <v>2000</v>
      </c>
      <c r="AF60" s="96">
        <v>3920</v>
      </c>
      <c r="AG60" s="97">
        <v>0</v>
      </c>
      <c r="AH60" s="265">
        <f>+Janvier!AJ60</f>
        <v>2337.1565934065934</v>
      </c>
      <c r="AI60" s="231">
        <f>+Janvier!AK60</f>
        <v>7271.1538461538466</v>
      </c>
      <c r="AJ60" s="231">
        <f>+Janvier!AL60</f>
        <v>5453.3653846153848</v>
      </c>
      <c r="AK60" s="231">
        <f>+Janvier!AM60</f>
        <v>5453.3653846153848</v>
      </c>
      <c r="AL60" s="231">
        <f>+Janvier!AN60</f>
        <v>3305.0699300699303</v>
      </c>
      <c r="AM60" s="231">
        <f>+Janvier!AO60</f>
        <v>2045.0120192307693</v>
      </c>
      <c r="AN60" s="231">
        <f>+Janvier!AP60</f>
        <v>4090.0240384615386</v>
      </c>
      <c r="AO60" s="231">
        <f>+Janvier!AQ60</f>
        <v>2045.0120192307693</v>
      </c>
      <c r="AP60" s="231">
        <f>+Janvier!AR60</f>
        <v>2045.0120192307693</v>
      </c>
      <c r="AQ60" s="231">
        <f>+Janvier!AS60</f>
        <v>3635.5769230769233</v>
      </c>
      <c r="AR60" s="16">
        <f t="shared" si="97"/>
        <v>5</v>
      </c>
      <c r="AS60" s="16">
        <f t="shared" si="98"/>
        <v>5</v>
      </c>
      <c r="AT60" s="16">
        <f t="shared" si="99"/>
        <v>5</v>
      </c>
      <c r="AU60" s="16">
        <f t="shared" si="100"/>
        <v>4</v>
      </c>
      <c r="AV60" s="16">
        <f t="shared" si="101"/>
        <v>5</v>
      </c>
      <c r="AW60" s="16">
        <f t="shared" si="102"/>
        <v>5</v>
      </c>
      <c r="AX60" s="16">
        <f t="shared" si="103"/>
        <v>4</v>
      </c>
      <c r="AY60" s="16">
        <f t="shared" si="104"/>
        <v>5</v>
      </c>
      <c r="AZ60" s="16">
        <f t="shared" si="105"/>
        <v>5</v>
      </c>
      <c r="BA60" s="17">
        <f t="shared" si="106"/>
        <v>5</v>
      </c>
    </row>
    <row r="61" spans="1:53" ht="15.6" x14ac:dyDescent="0.3">
      <c r="A61" s="199" t="s">
        <v>27</v>
      </c>
      <c r="B61" s="257">
        <v>44075</v>
      </c>
      <c r="C61" s="233">
        <v>44104</v>
      </c>
      <c r="D61" s="95">
        <v>1560</v>
      </c>
      <c r="E61" s="96">
        <v>2000</v>
      </c>
      <c r="F61" s="97">
        <v>0</v>
      </c>
      <c r="G61" s="95">
        <v>4180</v>
      </c>
      <c r="H61" s="96">
        <v>5380</v>
      </c>
      <c r="I61" s="97">
        <v>0</v>
      </c>
      <c r="J61" s="95">
        <v>3100</v>
      </c>
      <c r="K61" s="96">
        <v>4040</v>
      </c>
      <c r="L61" s="97">
        <v>0</v>
      </c>
      <c r="M61" s="95">
        <v>3200</v>
      </c>
      <c r="N61" s="96">
        <v>4040</v>
      </c>
      <c r="O61" s="97">
        <v>0</v>
      </c>
      <c r="P61" s="95">
        <v>1950</v>
      </c>
      <c r="Q61" s="96">
        <v>2611</v>
      </c>
      <c r="R61" s="97">
        <v>0</v>
      </c>
      <c r="S61" s="95">
        <v>950</v>
      </c>
      <c r="T61" s="96">
        <v>1345</v>
      </c>
      <c r="U61" s="97">
        <v>0</v>
      </c>
      <c r="V61" s="95">
        <v>1800</v>
      </c>
      <c r="W61" s="96">
        <v>3170</v>
      </c>
      <c r="X61" s="97">
        <v>0</v>
      </c>
      <c r="Y61" s="95">
        <v>1280</v>
      </c>
      <c r="Z61" s="96">
        <v>1600</v>
      </c>
      <c r="AA61" s="97">
        <v>0</v>
      </c>
      <c r="AB61" s="95">
        <v>1170</v>
      </c>
      <c r="AC61" s="96">
        <v>1600</v>
      </c>
      <c r="AD61" s="97">
        <v>0</v>
      </c>
      <c r="AE61" s="95">
        <v>1700</v>
      </c>
      <c r="AF61" s="96">
        <v>3350</v>
      </c>
      <c r="AG61" s="97">
        <v>0</v>
      </c>
      <c r="AH61" s="265">
        <f>+Janvier!AJ61</f>
        <v>1836.5934065934064</v>
      </c>
      <c r="AI61" s="231">
        <f>+Janvier!AK61</f>
        <v>5713.8461538461534</v>
      </c>
      <c r="AJ61" s="231">
        <f>+Janvier!AL61</f>
        <v>4285.3846153846152</v>
      </c>
      <c r="AK61" s="231">
        <f>+Janvier!AM61</f>
        <v>4285.3846153846152</v>
      </c>
      <c r="AL61" s="231">
        <f>+Janvier!AN61</f>
        <v>2597.2027972027972</v>
      </c>
      <c r="AM61" s="231">
        <f>+Janvier!AO61</f>
        <v>1607.0192307692307</v>
      </c>
      <c r="AN61" s="231">
        <f>+Janvier!AP61</f>
        <v>3214.0384615384614</v>
      </c>
      <c r="AO61" s="231">
        <f>+Janvier!AQ61</f>
        <v>1607.0192307692307</v>
      </c>
      <c r="AP61" s="231">
        <f>+Janvier!AR61</f>
        <v>1607.0192307692307</v>
      </c>
      <c r="AQ61" s="231">
        <f>+Janvier!AS61</f>
        <v>2856.9230769230767</v>
      </c>
      <c r="AR61" s="16">
        <f t="shared" si="97"/>
        <v>5</v>
      </c>
      <c r="AS61" s="16">
        <f t="shared" si="98"/>
        <v>5</v>
      </c>
      <c r="AT61" s="16">
        <f t="shared" si="99"/>
        <v>5</v>
      </c>
      <c r="AU61" s="16">
        <f t="shared" si="100"/>
        <v>5</v>
      </c>
      <c r="AV61" s="16">
        <f t="shared" si="101"/>
        <v>5</v>
      </c>
      <c r="AW61" s="16">
        <f t="shared" si="102"/>
        <v>4</v>
      </c>
      <c r="AX61" s="16">
        <f t="shared" si="103"/>
        <v>5</v>
      </c>
      <c r="AY61" s="16">
        <f t="shared" si="104"/>
        <v>5</v>
      </c>
      <c r="AZ61" s="16">
        <f t="shared" si="105"/>
        <v>5</v>
      </c>
      <c r="BA61" s="17">
        <f t="shared" si="106"/>
        <v>6</v>
      </c>
    </row>
    <row r="62" spans="1:53" ht="15.6" x14ac:dyDescent="0.3">
      <c r="A62" s="199" t="s">
        <v>28</v>
      </c>
      <c r="B62" s="257">
        <v>44075</v>
      </c>
      <c r="C62" s="233">
        <v>44104</v>
      </c>
      <c r="D62" s="95">
        <v>2640</v>
      </c>
      <c r="E62" s="98">
        <v>3420</v>
      </c>
      <c r="F62" s="97">
        <v>0</v>
      </c>
      <c r="G62" s="99">
        <v>7440</v>
      </c>
      <c r="H62" s="98">
        <v>10920</v>
      </c>
      <c r="I62" s="97">
        <v>0</v>
      </c>
      <c r="J62" s="99">
        <v>5310</v>
      </c>
      <c r="K62" s="98">
        <v>8120</v>
      </c>
      <c r="L62" s="97">
        <v>0</v>
      </c>
      <c r="M62" s="99">
        <v>5636</v>
      </c>
      <c r="N62" s="98">
        <v>8192</v>
      </c>
      <c r="O62" s="97">
        <v>0</v>
      </c>
      <c r="P62" s="99">
        <v>3950</v>
      </c>
      <c r="Q62" s="98">
        <v>5282</v>
      </c>
      <c r="R62" s="97">
        <v>0</v>
      </c>
      <c r="S62" s="99">
        <v>1535</v>
      </c>
      <c r="T62" s="98">
        <v>2750</v>
      </c>
      <c r="U62" s="97">
        <v>0</v>
      </c>
      <c r="V62" s="99">
        <v>2750</v>
      </c>
      <c r="W62" s="98">
        <v>6500</v>
      </c>
      <c r="X62" s="97">
        <v>0</v>
      </c>
      <c r="Y62" s="99">
        <v>2500</v>
      </c>
      <c r="Z62" s="98">
        <v>3250</v>
      </c>
      <c r="AA62" s="97">
        <v>0</v>
      </c>
      <c r="AB62" s="95">
        <v>2600</v>
      </c>
      <c r="AC62" s="98">
        <v>3250</v>
      </c>
      <c r="AD62" s="100">
        <v>0</v>
      </c>
      <c r="AE62" s="99">
        <v>2540</v>
      </c>
      <c r="AF62" s="98">
        <v>5740</v>
      </c>
      <c r="AG62" s="97">
        <v>0</v>
      </c>
      <c r="AH62" s="265">
        <f>+Janvier!AJ62</f>
        <v>3546.2225274725279</v>
      </c>
      <c r="AI62" s="231">
        <f>+Janvier!AK62</f>
        <v>11032.692307692307</v>
      </c>
      <c r="AJ62" s="231">
        <f>+Janvier!AL62</f>
        <v>8274.5192307692305</v>
      </c>
      <c r="AK62" s="231">
        <f>+Janvier!AM62</f>
        <v>8274.5192307692305</v>
      </c>
      <c r="AL62" s="231">
        <f>+Janvier!AN62</f>
        <v>5014.8601398601395</v>
      </c>
      <c r="AM62" s="231">
        <f>+Janvier!AO62</f>
        <v>3102.9447115384614</v>
      </c>
      <c r="AN62" s="231">
        <f>+Janvier!AP62</f>
        <v>6205.8894230769229</v>
      </c>
      <c r="AO62" s="231">
        <f>+Janvier!AQ62</f>
        <v>3102.9447115384614</v>
      </c>
      <c r="AP62" s="231">
        <f>+Janvier!AR62</f>
        <v>3102.9447115384614</v>
      </c>
      <c r="AQ62" s="231">
        <f>+Janvier!AS62</f>
        <v>5516.3461538461534</v>
      </c>
      <c r="AR62" s="16">
        <f t="shared" si="97"/>
        <v>5</v>
      </c>
      <c r="AS62" s="16">
        <f t="shared" si="98"/>
        <v>5</v>
      </c>
      <c r="AT62" s="16">
        <f t="shared" si="99"/>
        <v>5</v>
      </c>
      <c r="AU62" s="16">
        <f t="shared" si="100"/>
        <v>5</v>
      </c>
      <c r="AV62" s="16">
        <f t="shared" si="101"/>
        <v>5</v>
      </c>
      <c r="AW62" s="16">
        <f t="shared" si="102"/>
        <v>4</v>
      </c>
      <c r="AX62" s="16">
        <f t="shared" si="103"/>
        <v>5</v>
      </c>
      <c r="AY62" s="16">
        <f t="shared" si="104"/>
        <v>5</v>
      </c>
      <c r="AZ62" s="16">
        <f t="shared" si="105"/>
        <v>5</v>
      </c>
      <c r="BA62" s="17">
        <f t="shared" si="106"/>
        <v>5</v>
      </c>
    </row>
    <row r="63" spans="1:53" ht="15.6" x14ac:dyDescent="0.3">
      <c r="A63" s="199" t="s">
        <v>29</v>
      </c>
      <c r="B63" s="257">
        <v>44075</v>
      </c>
      <c r="C63" s="233">
        <v>44104</v>
      </c>
      <c r="D63" s="95">
        <v>2200</v>
      </c>
      <c r="E63" s="98">
        <v>2500</v>
      </c>
      <c r="F63" s="97">
        <v>0</v>
      </c>
      <c r="G63" s="99">
        <v>7000</v>
      </c>
      <c r="H63" s="98">
        <v>8720</v>
      </c>
      <c r="I63" s="97">
        <v>0</v>
      </c>
      <c r="J63" s="99">
        <v>5300</v>
      </c>
      <c r="K63" s="98">
        <v>6520</v>
      </c>
      <c r="L63" s="97">
        <v>0</v>
      </c>
      <c r="M63" s="99">
        <v>5000</v>
      </c>
      <c r="N63" s="98">
        <v>6500</v>
      </c>
      <c r="O63" s="97">
        <v>0</v>
      </c>
      <c r="P63" s="99">
        <v>3850</v>
      </c>
      <c r="Q63" s="98">
        <v>4351</v>
      </c>
      <c r="R63" s="97">
        <v>0</v>
      </c>
      <c r="S63" s="99">
        <v>660</v>
      </c>
      <c r="T63" s="98">
        <v>2430</v>
      </c>
      <c r="U63" s="97">
        <v>0</v>
      </c>
      <c r="V63" s="99">
        <v>3500</v>
      </c>
      <c r="W63" s="98">
        <v>4960</v>
      </c>
      <c r="X63" s="97">
        <v>0</v>
      </c>
      <c r="Y63" s="99">
        <v>2100</v>
      </c>
      <c r="Z63" s="98">
        <v>2480</v>
      </c>
      <c r="AA63" s="97">
        <v>0</v>
      </c>
      <c r="AB63" s="95">
        <v>1900</v>
      </c>
      <c r="AC63" s="98">
        <v>2480</v>
      </c>
      <c r="AD63" s="97">
        <v>0</v>
      </c>
      <c r="AE63" s="99">
        <v>2900</v>
      </c>
      <c r="AF63" s="98">
        <v>4360</v>
      </c>
      <c r="AG63" s="97">
        <v>0</v>
      </c>
      <c r="AH63" s="265">
        <f>+Janvier!AJ63</f>
        <v>2493.4203296703299</v>
      </c>
      <c r="AI63" s="231">
        <f>+Janvier!AK63</f>
        <v>7757.3076923076942</v>
      </c>
      <c r="AJ63" s="231">
        <f>+Janvier!AL63</f>
        <v>5817.9807692307704</v>
      </c>
      <c r="AK63" s="231">
        <f>+Janvier!AM63</f>
        <v>5817.9807692307704</v>
      </c>
      <c r="AL63" s="231">
        <f>+Janvier!AN63</f>
        <v>3526.0489510489515</v>
      </c>
      <c r="AM63" s="231">
        <f>+Janvier!AO63</f>
        <v>2181.7427884615386</v>
      </c>
      <c r="AN63" s="231">
        <f>+Janvier!AP63</f>
        <v>4363.4855769230771</v>
      </c>
      <c r="AO63" s="231">
        <f>+Janvier!AQ63</f>
        <v>2181.7427884615386</v>
      </c>
      <c r="AP63" s="231">
        <f>+Janvier!AR63</f>
        <v>2181.7427884615386</v>
      </c>
      <c r="AQ63" s="231">
        <f>+Janvier!AS63</f>
        <v>3878.6538461538471</v>
      </c>
      <c r="AR63" s="16">
        <f t="shared" si="97"/>
        <v>5</v>
      </c>
      <c r="AS63" s="16">
        <f t="shared" si="98"/>
        <v>6</v>
      </c>
      <c r="AT63" s="16">
        <f t="shared" si="99"/>
        <v>6</v>
      </c>
      <c r="AU63" s="16">
        <f t="shared" si="100"/>
        <v>6</v>
      </c>
      <c r="AV63" s="16">
        <f t="shared" si="101"/>
        <v>6</v>
      </c>
      <c r="AW63" s="16">
        <f t="shared" si="102"/>
        <v>6</v>
      </c>
      <c r="AX63" s="16">
        <f t="shared" si="103"/>
        <v>6</v>
      </c>
      <c r="AY63" s="16">
        <f t="shared" si="104"/>
        <v>6</v>
      </c>
      <c r="AZ63" s="16">
        <f t="shared" si="105"/>
        <v>6</v>
      </c>
      <c r="BA63" s="17">
        <f t="shared" si="106"/>
        <v>6</v>
      </c>
    </row>
    <row r="64" spans="1:53" ht="15.6" x14ac:dyDescent="0.3">
      <c r="A64" s="199" t="s">
        <v>30</v>
      </c>
      <c r="B64" s="257">
        <v>44075</v>
      </c>
      <c r="C64" s="233">
        <v>44104</v>
      </c>
      <c r="D64" s="95">
        <v>1000</v>
      </c>
      <c r="E64" s="98">
        <v>1880</v>
      </c>
      <c r="F64" s="97">
        <v>0</v>
      </c>
      <c r="G64" s="99">
        <v>2600</v>
      </c>
      <c r="H64" s="98">
        <v>3540</v>
      </c>
      <c r="I64" s="97">
        <v>0</v>
      </c>
      <c r="J64" s="99">
        <v>2000</v>
      </c>
      <c r="K64" s="98">
        <v>3290</v>
      </c>
      <c r="L64" s="97">
        <v>0</v>
      </c>
      <c r="M64" s="99">
        <v>2188</v>
      </c>
      <c r="N64" s="98">
        <v>2660</v>
      </c>
      <c r="O64" s="97">
        <v>0</v>
      </c>
      <c r="P64" s="99">
        <v>1600</v>
      </c>
      <c r="Q64" s="98">
        <v>1873</v>
      </c>
      <c r="R64" s="97">
        <v>0</v>
      </c>
      <c r="S64" s="99">
        <v>800</v>
      </c>
      <c r="T64" s="98">
        <v>1030</v>
      </c>
      <c r="U64" s="97">
        <v>0</v>
      </c>
      <c r="V64" s="99">
        <v>1000</v>
      </c>
      <c r="W64" s="98">
        <v>2320</v>
      </c>
      <c r="X64" s="97">
        <v>0</v>
      </c>
      <c r="Y64" s="99">
        <v>700</v>
      </c>
      <c r="Z64" s="98">
        <v>1230</v>
      </c>
      <c r="AA64" s="97">
        <v>0</v>
      </c>
      <c r="AB64" s="95">
        <v>700</v>
      </c>
      <c r="AC64" s="98">
        <v>1190</v>
      </c>
      <c r="AD64" s="97">
        <v>0</v>
      </c>
      <c r="AE64" s="99">
        <v>1000</v>
      </c>
      <c r="AF64" s="98">
        <v>2220</v>
      </c>
      <c r="AG64" s="97">
        <v>0</v>
      </c>
      <c r="AH64" s="265">
        <f>+Janvier!AJ64</f>
        <v>1338.1318681318683</v>
      </c>
      <c r="AI64" s="231">
        <f>+Janvier!AK64</f>
        <v>4163.0769230769229</v>
      </c>
      <c r="AJ64" s="231">
        <f>+Janvier!AL64</f>
        <v>3122.3076923076928</v>
      </c>
      <c r="AK64" s="231">
        <f>+Janvier!AM64</f>
        <v>3122.3076923076928</v>
      </c>
      <c r="AL64" s="231">
        <f>+Janvier!AN64</f>
        <v>1892.3076923076926</v>
      </c>
      <c r="AM64" s="231">
        <f>+Janvier!AO64</f>
        <v>1170.8653846153848</v>
      </c>
      <c r="AN64" s="231">
        <f>+Janvier!AP64</f>
        <v>2341.7307692307695</v>
      </c>
      <c r="AO64" s="231">
        <f>+Janvier!AQ64</f>
        <v>1170.8653846153848</v>
      </c>
      <c r="AP64" s="231">
        <f>+Janvier!AR64</f>
        <v>1170.8653846153848</v>
      </c>
      <c r="AQ64" s="231">
        <f>+Janvier!AS64</f>
        <v>2081.5384615384614</v>
      </c>
      <c r="AR64" s="16">
        <f t="shared" si="97"/>
        <v>7</v>
      </c>
      <c r="AS64" s="16">
        <f t="shared" si="98"/>
        <v>4</v>
      </c>
      <c r="AT64" s="16">
        <f t="shared" si="99"/>
        <v>5</v>
      </c>
      <c r="AU64" s="16">
        <f t="shared" si="100"/>
        <v>4</v>
      </c>
      <c r="AV64" s="16">
        <f t="shared" si="101"/>
        <v>5</v>
      </c>
      <c r="AW64" s="16">
        <f t="shared" si="102"/>
        <v>4</v>
      </c>
      <c r="AX64" s="16">
        <f t="shared" si="103"/>
        <v>5</v>
      </c>
      <c r="AY64" s="16">
        <f t="shared" si="104"/>
        <v>5</v>
      </c>
      <c r="AZ64" s="16">
        <f t="shared" si="105"/>
        <v>5</v>
      </c>
      <c r="BA64" s="17">
        <f t="shared" si="106"/>
        <v>5</v>
      </c>
    </row>
    <row r="65" spans="1:53" ht="15.6" x14ac:dyDescent="0.3">
      <c r="A65" s="199" t="s">
        <v>31</v>
      </c>
      <c r="B65" s="257">
        <v>44075</v>
      </c>
      <c r="C65" s="233">
        <v>44104</v>
      </c>
      <c r="D65" s="95">
        <v>1500</v>
      </c>
      <c r="E65" s="98">
        <v>2460</v>
      </c>
      <c r="F65" s="97">
        <v>0</v>
      </c>
      <c r="G65" s="99">
        <v>3000</v>
      </c>
      <c r="H65" s="98">
        <v>7320</v>
      </c>
      <c r="I65" s="97">
        <v>0</v>
      </c>
      <c r="J65" s="99">
        <v>2500</v>
      </c>
      <c r="K65" s="98">
        <v>5360</v>
      </c>
      <c r="L65" s="97">
        <v>0</v>
      </c>
      <c r="M65" s="99">
        <v>3000</v>
      </c>
      <c r="N65" s="98">
        <v>5400</v>
      </c>
      <c r="O65" s="97">
        <v>0</v>
      </c>
      <c r="P65" s="99">
        <v>1300</v>
      </c>
      <c r="Q65" s="98">
        <v>3038</v>
      </c>
      <c r="R65" s="97">
        <v>0</v>
      </c>
      <c r="S65" s="99">
        <v>500</v>
      </c>
      <c r="T65" s="98">
        <v>2000</v>
      </c>
      <c r="U65" s="97">
        <v>0</v>
      </c>
      <c r="V65" s="99">
        <v>1000</v>
      </c>
      <c r="W65" s="98">
        <v>4350</v>
      </c>
      <c r="X65" s="97">
        <v>0</v>
      </c>
      <c r="Y65" s="99">
        <v>1500</v>
      </c>
      <c r="Z65" s="98">
        <v>2300</v>
      </c>
      <c r="AA65" s="97">
        <v>0</v>
      </c>
      <c r="AB65" s="95">
        <v>100</v>
      </c>
      <c r="AC65" s="98">
        <v>2150</v>
      </c>
      <c r="AD65" s="97">
        <v>0</v>
      </c>
      <c r="AE65" s="99">
        <v>1500</v>
      </c>
      <c r="AF65" s="98">
        <v>3570</v>
      </c>
      <c r="AG65" s="97">
        <v>0</v>
      </c>
      <c r="AH65" s="265">
        <f>+Janvier!AJ65</f>
        <v>2561.7857142857147</v>
      </c>
      <c r="AI65" s="231">
        <f>+Janvier!AK65</f>
        <v>7970</v>
      </c>
      <c r="AJ65" s="231">
        <f>+Janvier!AL65</f>
        <v>5977.4999999999991</v>
      </c>
      <c r="AK65" s="231">
        <f>+Janvier!AM65</f>
        <v>5977.4999999999991</v>
      </c>
      <c r="AL65" s="231">
        <f>+Janvier!AN65</f>
        <v>3622.727272727273</v>
      </c>
      <c r="AM65" s="231">
        <f>+Janvier!AO65</f>
        <v>2241.5625</v>
      </c>
      <c r="AN65" s="231">
        <f>+Janvier!AP65</f>
        <v>4483.125</v>
      </c>
      <c r="AO65" s="231">
        <f>+Janvier!AQ65</f>
        <v>2241.5625</v>
      </c>
      <c r="AP65" s="231">
        <f>+Janvier!AR65</f>
        <v>2241.5625</v>
      </c>
      <c r="AQ65" s="231">
        <f>+Janvier!AS65</f>
        <v>3985</v>
      </c>
      <c r="AR65" s="16">
        <f t="shared" si="97"/>
        <v>5</v>
      </c>
      <c r="AS65" s="16">
        <f t="shared" si="98"/>
        <v>5</v>
      </c>
      <c r="AT65" s="16">
        <f t="shared" si="99"/>
        <v>4</v>
      </c>
      <c r="AU65" s="16">
        <f t="shared" si="100"/>
        <v>5</v>
      </c>
      <c r="AV65" s="16">
        <f t="shared" si="101"/>
        <v>4</v>
      </c>
      <c r="AW65" s="16">
        <f t="shared" si="102"/>
        <v>4</v>
      </c>
      <c r="AX65" s="16">
        <f t="shared" si="103"/>
        <v>5</v>
      </c>
      <c r="AY65" s="16">
        <f t="shared" si="104"/>
        <v>5</v>
      </c>
      <c r="AZ65" s="16">
        <f t="shared" si="105"/>
        <v>5</v>
      </c>
      <c r="BA65" s="17">
        <f t="shared" si="106"/>
        <v>4</v>
      </c>
    </row>
    <row r="66" spans="1:53" ht="15.6" x14ac:dyDescent="0.3">
      <c r="A66" s="199" t="s">
        <v>32</v>
      </c>
      <c r="B66" s="257">
        <v>44075</v>
      </c>
      <c r="C66" s="233">
        <v>44104</v>
      </c>
      <c r="D66" s="95">
        <v>1440</v>
      </c>
      <c r="E66" s="98">
        <v>2100</v>
      </c>
      <c r="F66" s="97">
        <v>0</v>
      </c>
      <c r="G66" s="99">
        <v>2300</v>
      </c>
      <c r="H66" s="98">
        <v>5000</v>
      </c>
      <c r="I66" s="97">
        <v>0</v>
      </c>
      <c r="J66" s="99">
        <v>2120</v>
      </c>
      <c r="K66" s="98">
        <v>4000</v>
      </c>
      <c r="L66" s="97">
        <v>0</v>
      </c>
      <c r="M66" s="99">
        <v>1924</v>
      </c>
      <c r="N66" s="98">
        <v>4000</v>
      </c>
      <c r="O66" s="97">
        <v>0</v>
      </c>
      <c r="P66" s="99">
        <v>1200</v>
      </c>
      <c r="Q66" s="98">
        <v>2500</v>
      </c>
      <c r="R66" s="97">
        <v>0</v>
      </c>
      <c r="S66" s="99">
        <v>725</v>
      </c>
      <c r="T66" s="98">
        <v>2000</v>
      </c>
      <c r="U66" s="97">
        <v>0</v>
      </c>
      <c r="V66" s="99">
        <v>1560</v>
      </c>
      <c r="W66" s="98">
        <v>3000</v>
      </c>
      <c r="X66" s="97">
        <v>0</v>
      </c>
      <c r="Y66" s="99">
        <v>1250</v>
      </c>
      <c r="Z66" s="98">
        <v>2000</v>
      </c>
      <c r="AA66" s="97">
        <v>0</v>
      </c>
      <c r="AB66" s="95">
        <v>1030</v>
      </c>
      <c r="AC66" s="98">
        <v>2000</v>
      </c>
      <c r="AD66" s="97">
        <v>0</v>
      </c>
      <c r="AE66" s="99">
        <v>1850</v>
      </c>
      <c r="AF66" s="98">
        <v>3000</v>
      </c>
      <c r="AG66" s="97">
        <v>0</v>
      </c>
      <c r="AH66" s="265">
        <f>+Janvier!AJ66</f>
        <v>1732.3763736263736</v>
      </c>
      <c r="AI66" s="231">
        <f>+Janvier!AK66</f>
        <v>5389.6153846153857</v>
      </c>
      <c r="AJ66" s="231">
        <f>+Janvier!AL66</f>
        <v>4042.211538461539</v>
      </c>
      <c r="AK66" s="231">
        <f>+Janvier!AM66</f>
        <v>4042.211538461539</v>
      </c>
      <c r="AL66" s="231">
        <f>+Janvier!AN66</f>
        <v>2449.8251748251751</v>
      </c>
      <c r="AM66" s="231">
        <f>+Janvier!AO66</f>
        <v>1515.8293269230767</v>
      </c>
      <c r="AN66" s="231">
        <f>+Janvier!AP66</f>
        <v>3031.6586538461534</v>
      </c>
      <c r="AO66" s="231">
        <f>+Janvier!AQ66</f>
        <v>1515.8293269230767</v>
      </c>
      <c r="AP66" s="231">
        <f>+Janvier!AR66</f>
        <v>1515.8293269230767</v>
      </c>
      <c r="AQ66" s="231">
        <f>+Janvier!AS66</f>
        <v>2694.8076923076928</v>
      </c>
      <c r="AR66" s="16">
        <f t="shared" si="97"/>
        <v>6</v>
      </c>
      <c r="AS66" s="16">
        <f t="shared" si="98"/>
        <v>5</v>
      </c>
      <c r="AT66" s="16">
        <f t="shared" si="99"/>
        <v>5</v>
      </c>
      <c r="AU66" s="16">
        <f t="shared" si="100"/>
        <v>5</v>
      </c>
      <c r="AV66" s="16">
        <f t="shared" si="101"/>
        <v>5</v>
      </c>
      <c r="AW66" s="16">
        <f t="shared" si="102"/>
        <v>7</v>
      </c>
      <c r="AX66" s="16">
        <f t="shared" si="103"/>
        <v>5</v>
      </c>
      <c r="AY66" s="16">
        <f t="shared" si="104"/>
        <v>7</v>
      </c>
      <c r="AZ66" s="16">
        <f t="shared" si="105"/>
        <v>7</v>
      </c>
      <c r="BA66" s="17">
        <f t="shared" si="106"/>
        <v>6</v>
      </c>
    </row>
    <row r="67" spans="1:53" ht="16.2" thickBot="1" x14ac:dyDescent="0.35">
      <c r="A67" s="199" t="s">
        <v>33</v>
      </c>
      <c r="B67" s="270">
        <v>44075</v>
      </c>
      <c r="C67" s="271">
        <v>44104</v>
      </c>
      <c r="D67" s="111">
        <v>860</v>
      </c>
      <c r="E67" s="263">
        <v>1600</v>
      </c>
      <c r="F67" s="110">
        <v>0</v>
      </c>
      <c r="G67" s="264">
        <v>2200</v>
      </c>
      <c r="H67" s="263">
        <v>4080</v>
      </c>
      <c r="I67" s="110">
        <v>0</v>
      </c>
      <c r="J67" s="264">
        <v>1930</v>
      </c>
      <c r="K67" s="263">
        <v>3060</v>
      </c>
      <c r="L67" s="110">
        <v>0</v>
      </c>
      <c r="M67" s="264">
        <v>1832</v>
      </c>
      <c r="N67" s="263">
        <v>2660</v>
      </c>
      <c r="O67" s="110">
        <v>0</v>
      </c>
      <c r="P67" s="264">
        <v>1250</v>
      </c>
      <c r="Q67" s="263">
        <v>1870</v>
      </c>
      <c r="R67" s="110">
        <v>0</v>
      </c>
      <c r="S67" s="264">
        <v>560</v>
      </c>
      <c r="T67" s="263">
        <v>1035</v>
      </c>
      <c r="U67" s="110">
        <v>0</v>
      </c>
      <c r="V67" s="264">
        <v>910</v>
      </c>
      <c r="W67" s="263">
        <v>2430</v>
      </c>
      <c r="X67" s="110">
        <v>0</v>
      </c>
      <c r="Y67" s="264">
        <v>430</v>
      </c>
      <c r="Z67" s="263">
        <v>1220</v>
      </c>
      <c r="AA67" s="110">
        <v>0</v>
      </c>
      <c r="AB67" s="111">
        <v>650</v>
      </c>
      <c r="AC67" s="263">
        <v>1220</v>
      </c>
      <c r="AD67" s="110">
        <v>0</v>
      </c>
      <c r="AE67" s="266">
        <v>1110</v>
      </c>
      <c r="AF67" s="267">
        <v>2550</v>
      </c>
      <c r="AG67" s="261">
        <v>0</v>
      </c>
      <c r="AH67" s="265">
        <f>+Janvier!AJ67</f>
        <v>1391.4148351648353</v>
      </c>
      <c r="AI67" s="231">
        <f>+Janvier!AK67</f>
        <v>4328.8461538461534</v>
      </c>
      <c r="AJ67" s="231">
        <f>+Janvier!AL67</f>
        <v>3246.6346153846152</v>
      </c>
      <c r="AK67" s="231">
        <f>+Janvier!AM67</f>
        <v>3246.6346153846152</v>
      </c>
      <c r="AL67" s="231">
        <f>+Janvier!AN67</f>
        <v>1967.6573426573427</v>
      </c>
      <c r="AM67" s="231">
        <f>+Janvier!AO67</f>
        <v>1217.4879807692307</v>
      </c>
      <c r="AN67" s="231">
        <f>+Janvier!AP67</f>
        <v>2434.9759615384614</v>
      </c>
      <c r="AO67" s="231">
        <f>+Janvier!AQ67</f>
        <v>1217.4879807692307</v>
      </c>
      <c r="AP67" s="231">
        <f>+Janvier!AR67</f>
        <v>1217.4879807692307</v>
      </c>
      <c r="AQ67" s="231">
        <f>+Janvier!AS67</f>
        <v>2164.4230769230767</v>
      </c>
      <c r="AR67" s="32">
        <f t="shared" si="97"/>
        <v>6</v>
      </c>
      <c r="AS67" s="32">
        <f t="shared" si="98"/>
        <v>5</v>
      </c>
      <c r="AT67" s="32">
        <f t="shared" si="99"/>
        <v>5</v>
      </c>
      <c r="AU67" s="32">
        <f t="shared" si="100"/>
        <v>4</v>
      </c>
      <c r="AV67" s="32">
        <f t="shared" si="101"/>
        <v>5</v>
      </c>
      <c r="AW67" s="32">
        <f t="shared" si="102"/>
        <v>4</v>
      </c>
      <c r="AX67" s="32">
        <f t="shared" si="103"/>
        <v>5</v>
      </c>
      <c r="AY67" s="32">
        <f t="shared" si="104"/>
        <v>5</v>
      </c>
      <c r="AZ67" s="32">
        <f t="shared" si="105"/>
        <v>5</v>
      </c>
      <c r="BA67" s="33">
        <f t="shared" si="106"/>
        <v>6</v>
      </c>
    </row>
    <row r="68" spans="1:53" ht="15.6" x14ac:dyDescent="0.3">
      <c r="A68" s="202" t="s">
        <v>86</v>
      </c>
      <c r="B68" s="256">
        <v>44079</v>
      </c>
      <c r="C68" s="160">
        <v>44106</v>
      </c>
      <c r="D68" s="268">
        <v>0</v>
      </c>
      <c r="E68" s="123">
        <v>26560</v>
      </c>
      <c r="F68" s="124">
        <v>0</v>
      </c>
      <c r="G68" s="125">
        <v>0</v>
      </c>
      <c r="H68" s="123">
        <v>115880</v>
      </c>
      <c r="I68" s="124">
        <v>0</v>
      </c>
      <c r="J68" s="125">
        <v>0</v>
      </c>
      <c r="K68" s="123">
        <v>64380</v>
      </c>
      <c r="L68" s="124"/>
      <c r="M68" s="125">
        <v>0</v>
      </c>
      <c r="N68" s="123">
        <v>79084</v>
      </c>
      <c r="O68" s="124">
        <v>0</v>
      </c>
      <c r="P68" s="125">
        <v>0</v>
      </c>
      <c r="Q68" s="123">
        <v>44293</v>
      </c>
      <c r="R68" s="124">
        <v>0</v>
      </c>
      <c r="S68" s="125">
        <v>0</v>
      </c>
      <c r="T68" s="123">
        <v>32415</v>
      </c>
      <c r="U68" s="124">
        <v>0</v>
      </c>
      <c r="V68" s="125">
        <v>0</v>
      </c>
      <c r="W68" s="123">
        <v>76740</v>
      </c>
      <c r="X68" s="124">
        <v>0</v>
      </c>
      <c r="Y68" s="125">
        <v>15000</v>
      </c>
      <c r="Z68" s="123">
        <v>25190</v>
      </c>
      <c r="AA68" s="124">
        <v>0</v>
      </c>
      <c r="AB68" s="125">
        <v>0</v>
      </c>
      <c r="AC68" s="123">
        <v>32220</v>
      </c>
      <c r="AD68" s="124">
        <v>0</v>
      </c>
      <c r="AE68" s="125">
        <v>25000</v>
      </c>
      <c r="AF68" s="123">
        <v>26410</v>
      </c>
      <c r="AG68" s="124">
        <v>0</v>
      </c>
      <c r="AH68" s="265">
        <f>+Janvier!AJ68</f>
        <v>88119.9</v>
      </c>
      <c r="AI68" s="231">
        <f>+Janvier!AK68</f>
        <v>305254.47115384619</v>
      </c>
      <c r="AJ68" s="231">
        <f>+Janvier!AL68</f>
        <v>203299.47778846158</v>
      </c>
      <c r="AK68" s="231">
        <f>+Janvier!AM68</f>
        <v>203299.47778846158</v>
      </c>
      <c r="AL68" s="231">
        <f>+Janvier!AN68</f>
        <v>128206.87788461539</v>
      </c>
      <c r="AM68" s="231">
        <f>+Janvier!AO68</f>
        <v>76313.617788461546</v>
      </c>
      <c r="AN68" s="231">
        <f>+Janvier!AP68</f>
        <v>152627.23557692309</v>
      </c>
      <c r="AO68" s="231">
        <f>+Janvier!AQ68</f>
        <v>76313.617788461546</v>
      </c>
      <c r="AP68" s="231">
        <f>+Janvier!AR68</f>
        <v>76313.617788461546</v>
      </c>
      <c r="AQ68" s="231">
        <f>+Janvier!AS68</f>
        <v>136801.52307692307</v>
      </c>
      <c r="AR68" s="16">
        <f>ROUND(E68/(AH68/15),0)</f>
        <v>5</v>
      </c>
      <c r="AS68" s="16">
        <f t="shared" ref="AS68" si="107">ROUND(H68/(AI68/15),0)</f>
        <v>6</v>
      </c>
      <c r="AT68" s="16">
        <f t="shared" ref="AT68" si="108">ROUND(K68/(AJ68/15),0)</f>
        <v>5</v>
      </c>
      <c r="AU68" s="16">
        <f t="shared" ref="AU68" si="109">ROUND(N68/(AK68/15),0)</f>
        <v>6</v>
      </c>
      <c r="AV68" s="16">
        <f t="shared" ref="AV68" si="110">ROUND(Q68/(AL68/15),0)</f>
        <v>5</v>
      </c>
      <c r="AW68" s="16">
        <f t="shared" ref="AW68" si="111">ROUND(T68/(AM68/15),0)</f>
        <v>6</v>
      </c>
      <c r="AX68" s="16">
        <f t="shared" ref="AX68" si="112">ROUND(W68/(AN68/15),0)</f>
        <v>8</v>
      </c>
      <c r="AY68" s="16">
        <f t="shared" ref="AY68" si="113">ROUND(Z68/(AO68/15),0)</f>
        <v>5</v>
      </c>
      <c r="AZ68" s="16">
        <f t="shared" ref="AZ68" si="114">ROUND(AC68/(AP68/15),0)</f>
        <v>6</v>
      </c>
      <c r="BA68" s="17">
        <f t="shared" ref="BA68" si="115">ROUND(AF68/(AQ68/15),0)</f>
        <v>3</v>
      </c>
    </row>
    <row r="69" spans="1:53" ht="15.6" x14ac:dyDescent="0.3">
      <c r="A69" s="199" t="s">
        <v>63</v>
      </c>
      <c r="B69" s="257">
        <v>44079</v>
      </c>
      <c r="C69" s="94">
        <v>44106</v>
      </c>
      <c r="D69" s="237">
        <v>1880</v>
      </c>
      <c r="E69" s="96">
        <v>800</v>
      </c>
      <c r="F69" s="97">
        <v>0</v>
      </c>
      <c r="G69" s="95">
        <v>2000</v>
      </c>
      <c r="H69" s="96">
        <v>2000</v>
      </c>
      <c r="I69" s="97">
        <v>0</v>
      </c>
      <c r="J69" s="95">
        <v>2300</v>
      </c>
      <c r="K69" s="96">
        <v>1390</v>
      </c>
      <c r="L69" s="97">
        <v>0</v>
      </c>
      <c r="M69" s="95">
        <v>2648</v>
      </c>
      <c r="N69" s="96">
        <v>1384</v>
      </c>
      <c r="O69" s="97">
        <v>0</v>
      </c>
      <c r="P69" s="95">
        <v>1050</v>
      </c>
      <c r="Q69" s="96">
        <v>800</v>
      </c>
      <c r="R69" s="97">
        <v>0</v>
      </c>
      <c r="S69" s="95">
        <v>1200</v>
      </c>
      <c r="T69" s="96">
        <v>605</v>
      </c>
      <c r="U69" s="97">
        <v>0</v>
      </c>
      <c r="V69" s="95">
        <v>1050</v>
      </c>
      <c r="W69" s="96">
        <v>860</v>
      </c>
      <c r="X69" s="97">
        <v>0</v>
      </c>
      <c r="Y69" s="95">
        <v>330</v>
      </c>
      <c r="Z69" s="96">
        <v>390</v>
      </c>
      <c r="AA69" s="97">
        <v>0</v>
      </c>
      <c r="AB69" s="95">
        <v>1401</v>
      </c>
      <c r="AC69" s="96">
        <v>500</v>
      </c>
      <c r="AD69" s="97">
        <v>0</v>
      </c>
      <c r="AE69" s="95">
        <v>490</v>
      </c>
      <c r="AF69" s="96">
        <v>1610</v>
      </c>
      <c r="AG69" s="97">
        <v>0</v>
      </c>
      <c r="AH69" s="265">
        <f>+Janvier!AJ69</f>
        <v>792.19780219780216</v>
      </c>
      <c r="AI69" s="231">
        <f>+Janvier!AK69</f>
        <v>2464.6153846153848</v>
      </c>
      <c r="AJ69" s="231">
        <f>+Janvier!AL69</f>
        <v>1848.4615384615383</v>
      </c>
      <c r="AK69" s="231">
        <f>+Janvier!AM69</f>
        <v>1848.4615384615383</v>
      </c>
      <c r="AL69" s="231">
        <f>+Janvier!AN69</f>
        <v>1120.2797202797203</v>
      </c>
      <c r="AM69" s="231">
        <f>+Janvier!AO69</f>
        <v>693.17307692307691</v>
      </c>
      <c r="AN69" s="231">
        <f>+Janvier!AP69</f>
        <v>1386.3461538461538</v>
      </c>
      <c r="AO69" s="231">
        <f>+Janvier!AQ69</f>
        <v>693.17307692307691</v>
      </c>
      <c r="AP69" s="231">
        <f>+Janvier!AR69</f>
        <v>693.17307692307691</v>
      </c>
      <c r="AQ69" s="231">
        <f>+Janvier!AS69</f>
        <v>1232.3076923076924</v>
      </c>
      <c r="AR69" s="16">
        <f t="shared" ref="AR69:AR79" si="116">ROUND(E69/(AH69/5),0)</f>
        <v>5</v>
      </c>
      <c r="AS69" s="16">
        <f t="shared" ref="AS69:AS79" si="117">ROUND(H69/(AI69/5),0)</f>
        <v>4</v>
      </c>
      <c r="AT69" s="16">
        <f t="shared" ref="AT69:AT79" si="118">ROUND(K69/(AJ69/5),0)</f>
        <v>4</v>
      </c>
      <c r="AU69" s="16">
        <f t="shared" ref="AU69:AU79" si="119">ROUND(N69/(AK69/5),0)</f>
        <v>4</v>
      </c>
      <c r="AV69" s="16">
        <f t="shared" ref="AV69:AV79" si="120">ROUND(Q69/(AL69/5),0)</f>
        <v>4</v>
      </c>
      <c r="AW69" s="16">
        <f t="shared" ref="AW69:AW79" si="121">ROUND(T69/(AM69/5),0)</f>
        <v>4</v>
      </c>
      <c r="AX69" s="16">
        <f t="shared" ref="AX69:AX79" si="122">ROUND(W69/(AN69/5),0)</f>
        <v>3</v>
      </c>
      <c r="AY69" s="16">
        <f t="shared" ref="AY69:AY79" si="123">ROUND(Z69/(AO69/5),0)</f>
        <v>3</v>
      </c>
      <c r="AZ69" s="16">
        <f t="shared" ref="AZ69:AZ79" si="124">ROUND(AC69/(AP69/5),0)</f>
        <v>4</v>
      </c>
      <c r="BA69" s="17">
        <f t="shared" ref="BA69:BA79" si="125">ROUND(AF69/(AQ69/5),0)</f>
        <v>7</v>
      </c>
    </row>
    <row r="70" spans="1:53" ht="15.6" x14ac:dyDescent="0.3">
      <c r="A70" s="199" t="s">
        <v>64</v>
      </c>
      <c r="B70" s="257">
        <v>44079</v>
      </c>
      <c r="C70" s="94">
        <v>44106</v>
      </c>
      <c r="D70" s="237">
        <v>3760</v>
      </c>
      <c r="E70" s="96">
        <v>2380</v>
      </c>
      <c r="F70" s="97">
        <v>0</v>
      </c>
      <c r="G70" s="95">
        <v>8900</v>
      </c>
      <c r="H70" s="96">
        <v>5580</v>
      </c>
      <c r="I70" s="97">
        <v>0</v>
      </c>
      <c r="J70" s="95">
        <v>7760</v>
      </c>
      <c r="K70" s="96">
        <v>4700</v>
      </c>
      <c r="L70" s="97">
        <v>0</v>
      </c>
      <c r="M70" s="95">
        <v>7452</v>
      </c>
      <c r="N70" s="96">
        <v>3812</v>
      </c>
      <c r="O70" s="97">
        <v>0</v>
      </c>
      <c r="P70" s="95">
        <v>4152</v>
      </c>
      <c r="Q70" s="96">
        <v>2000</v>
      </c>
      <c r="R70" s="97">
        <v>0</v>
      </c>
      <c r="S70" s="95">
        <v>2400</v>
      </c>
      <c r="T70" s="96">
        <v>2005</v>
      </c>
      <c r="U70" s="97">
        <v>0</v>
      </c>
      <c r="V70" s="95">
        <v>4340</v>
      </c>
      <c r="W70" s="96">
        <v>1860</v>
      </c>
      <c r="X70" s="97">
        <v>0</v>
      </c>
      <c r="Y70" s="95">
        <v>2000</v>
      </c>
      <c r="Z70" s="96">
        <v>1690</v>
      </c>
      <c r="AA70" s="97">
        <v>0</v>
      </c>
      <c r="AB70" s="95">
        <v>2450</v>
      </c>
      <c r="AC70" s="96">
        <v>1620</v>
      </c>
      <c r="AD70" s="97">
        <v>0</v>
      </c>
      <c r="AE70" s="95">
        <v>5300</v>
      </c>
      <c r="AF70" s="96">
        <v>4910</v>
      </c>
      <c r="AG70" s="97">
        <v>0</v>
      </c>
      <c r="AH70" s="265">
        <f>+Janvier!AJ70</f>
        <v>1980.7417582417584</v>
      </c>
      <c r="AI70" s="231">
        <f>+Janvier!AK70</f>
        <v>6162.3076923076933</v>
      </c>
      <c r="AJ70" s="231">
        <f>+Janvier!AL70</f>
        <v>4621.7307692307704</v>
      </c>
      <c r="AK70" s="231">
        <f>+Janvier!AM70</f>
        <v>4621.7307692307704</v>
      </c>
      <c r="AL70" s="231">
        <f>+Janvier!AN70</f>
        <v>2801.0489510489515</v>
      </c>
      <c r="AM70" s="231">
        <f>+Janvier!AO70</f>
        <v>1733.1490384615383</v>
      </c>
      <c r="AN70" s="231">
        <f>+Janvier!AP70</f>
        <v>3466.2980769230767</v>
      </c>
      <c r="AO70" s="231">
        <f>+Janvier!AQ70</f>
        <v>1733.1490384615383</v>
      </c>
      <c r="AP70" s="231">
        <f>+Janvier!AR70</f>
        <v>1733.1490384615383</v>
      </c>
      <c r="AQ70" s="231">
        <f>+Janvier!AS70</f>
        <v>3081.1538461538466</v>
      </c>
      <c r="AR70" s="16">
        <f t="shared" si="116"/>
        <v>6</v>
      </c>
      <c r="AS70" s="16">
        <f t="shared" si="117"/>
        <v>5</v>
      </c>
      <c r="AT70" s="16">
        <f t="shared" si="118"/>
        <v>5</v>
      </c>
      <c r="AU70" s="16">
        <f t="shared" si="119"/>
        <v>4</v>
      </c>
      <c r="AV70" s="16">
        <f t="shared" si="120"/>
        <v>4</v>
      </c>
      <c r="AW70" s="16">
        <f t="shared" si="121"/>
        <v>6</v>
      </c>
      <c r="AX70" s="16">
        <f t="shared" si="122"/>
        <v>3</v>
      </c>
      <c r="AY70" s="16">
        <f t="shared" si="123"/>
        <v>5</v>
      </c>
      <c r="AZ70" s="16">
        <f t="shared" si="124"/>
        <v>5</v>
      </c>
      <c r="BA70" s="17">
        <f t="shared" si="125"/>
        <v>8</v>
      </c>
    </row>
    <row r="71" spans="1:53" ht="15.6" x14ac:dyDescent="0.3">
      <c r="A71" s="199" t="s">
        <v>65</v>
      </c>
      <c r="B71" s="257">
        <v>44079</v>
      </c>
      <c r="C71" s="94">
        <v>44106</v>
      </c>
      <c r="D71" s="237">
        <v>4780</v>
      </c>
      <c r="E71" s="96">
        <v>3300</v>
      </c>
      <c r="F71" s="97">
        <v>0</v>
      </c>
      <c r="G71" s="95">
        <v>13080</v>
      </c>
      <c r="H71" s="96">
        <v>7940</v>
      </c>
      <c r="I71" s="97">
        <v>0</v>
      </c>
      <c r="J71" s="95">
        <v>11240</v>
      </c>
      <c r="K71" s="96">
        <v>6060</v>
      </c>
      <c r="L71" s="97">
        <v>0</v>
      </c>
      <c r="M71" s="95">
        <v>12444</v>
      </c>
      <c r="N71" s="96">
        <v>6184</v>
      </c>
      <c r="O71" s="97">
        <v>0</v>
      </c>
      <c r="P71" s="95">
        <v>6947</v>
      </c>
      <c r="Q71" s="96">
        <v>3567</v>
      </c>
      <c r="R71" s="97">
        <v>0</v>
      </c>
      <c r="S71" s="95">
        <v>3730</v>
      </c>
      <c r="T71" s="96">
        <v>2320</v>
      </c>
      <c r="U71" s="97">
        <v>0</v>
      </c>
      <c r="V71" s="95">
        <v>7530</v>
      </c>
      <c r="W71" s="96">
        <v>3920</v>
      </c>
      <c r="X71" s="97">
        <v>0</v>
      </c>
      <c r="Y71" s="95">
        <v>3540</v>
      </c>
      <c r="Z71" s="96">
        <v>2290</v>
      </c>
      <c r="AA71" s="97">
        <v>0</v>
      </c>
      <c r="AB71" s="95">
        <v>4300</v>
      </c>
      <c r="AC71" s="96">
        <v>2350</v>
      </c>
      <c r="AD71" s="97">
        <v>0</v>
      </c>
      <c r="AE71" s="95">
        <v>7560</v>
      </c>
      <c r="AF71" s="96">
        <v>4550</v>
      </c>
      <c r="AG71" s="97">
        <v>0</v>
      </c>
      <c r="AH71" s="265">
        <f>+Janvier!AJ71</f>
        <v>2906.4560439560446</v>
      </c>
      <c r="AI71" s="231">
        <f>+Janvier!AK71</f>
        <v>9042.3076923076933</v>
      </c>
      <c r="AJ71" s="231">
        <f>+Janvier!AL71</f>
        <v>6781.7307692307695</v>
      </c>
      <c r="AK71" s="231">
        <f>+Janvier!AM71</f>
        <v>6781.7307692307695</v>
      </c>
      <c r="AL71" s="231">
        <f>+Janvier!AN71</f>
        <v>4110.1398601398605</v>
      </c>
      <c r="AM71" s="231">
        <f>+Janvier!AO71</f>
        <v>2543.1490384615386</v>
      </c>
      <c r="AN71" s="231">
        <f>+Janvier!AP71</f>
        <v>5086.2980769230771</v>
      </c>
      <c r="AO71" s="231">
        <f>+Janvier!AQ71</f>
        <v>2543.1490384615386</v>
      </c>
      <c r="AP71" s="231">
        <f>+Janvier!AR71</f>
        <v>2543.1490384615386</v>
      </c>
      <c r="AQ71" s="231">
        <f>+Janvier!AS71</f>
        <v>4521.1538461538466</v>
      </c>
      <c r="AR71" s="16">
        <f t="shared" si="116"/>
        <v>6</v>
      </c>
      <c r="AS71" s="16">
        <f t="shared" si="117"/>
        <v>4</v>
      </c>
      <c r="AT71" s="16">
        <f t="shared" si="118"/>
        <v>4</v>
      </c>
      <c r="AU71" s="16">
        <f t="shared" si="119"/>
        <v>5</v>
      </c>
      <c r="AV71" s="16">
        <f t="shared" si="120"/>
        <v>4</v>
      </c>
      <c r="AW71" s="16">
        <f t="shared" si="121"/>
        <v>5</v>
      </c>
      <c r="AX71" s="16">
        <f t="shared" si="122"/>
        <v>4</v>
      </c>
      <c r="AY71" s="16">
        <f t="shared" si="123"/>
        <v>5</v>
      </c>
      <c r="AZ71" s="16">
        <f t="shared" si="124"/>
        <v>5</v>
      </c>
      <c r="BA71" s="17">
        <f t="shared" si="125"/>
        <v>5</v>
      </c>
    </row>
    <row r="72" spans="1:53" ht="15.6" x14ac:dyDescent="0.3">
      <c r="A72" s="203" t="s">
        <v>66</v>
      </c>
      <c r="B72" s="257">
        <v>44079</v>
      </c>
      <c r="C72" s="94">
        <v>44106</v>
      </c>
      <c r="D72" s="237">
        <v>3720</v>
      </c>
      <c r="E72" s="96">
        <v>3700</v>
      </c>
      <c r="F72" s="97">
        <v>0</v>
      </c>
      <c r="G72" s="95">
        <v>7580</v>
      </c>
      <c r="H72" s="96">
        <v>7060</v>
      </c>
      <c r="I72" s="97">
        <v>0</v>
      </c>
      <c r="J72" s="95">
        <v>9600</v>
      </c>
      <c r="K72" s="96">
        <v>7700</v>
      </c>
      <c r="L72" s="97">
        <v>0</v>
      </c>
      <c r="M72" s="95">
        <v>13168</v>
      </c>
      <c r="N72" s="96">
        <v>6360</v>
      </c>
      <c r="O72" s="97">
        <v>0</v>
      </c>
      <c r="P72" s="95">
        <v>3839</v>
      </c>
      <c r="Q72" s="96">
        <v>2976</v>
      </c>
      <c r="R72" s="97">
        <v>0</v>
      </c>
      <c r="S72" s="95">
        <v>1690</v>
      </c>
      <c r="T72" s="96">
        <v>1240</v>
      </c>
      <c r="U72" s="97">
        <v>0</v>
      </c>
      <c r="V72" s="95">
        <v>3870</v>
      </c>
      <c r="W72" s="96">
        <v>3560</v>
      </c>
      <c r="X72" s="97">
        <v>0</v>
      </c>
      <c r="Y72" s="95">
        <v>1780</v>
      </c>
      <c r="Z72" s="96">
        <v>2400</v>
      </c>
      <c r="AA72" s="97">
        <v>0</v>
      </c>
      <c r="AB72" s="95">
        <v>2190</v>
      </c>
      <c r="AC72" s="96">
        <v>1910</v>
      </c>
      <c r="AD72" s="97">
        <v>0</v>
      </c>
      <c r="AE72" s="95">
        <v>5000</v>
      </c>
      <c r="AF72" s="96">
        <v>4750</v>
      </c>
      <c r="AG72" s="97">
        <v>0</v>
      </c>
      <c r="AH72" s="265">
        <f>+Janvier!AJ72</f>
        <v>2692.335164835165</v>
      </c>
      <c r="AI72" s="231">
        <f>+Janvier!AK72</f>
        <v>8376.1538461538457</v>
      </c>
      <c r="AJ72" s="231">
        <f>+Janvier!AL72</f>
        <v>6282.1153846153857</v>
      </c>
      <c r="AK72" s="231">
        <f>+Janvier!AM72</f>
        <v>6282.1153846153857</v>
      </c>
      <c r="AL72" s="231">
        <f>+Janvier!AN72</f>
        <v>3807.3426573426577</v>
      </c>
      <c r="AM72" s="231">
        <f>+Janvier!AO72</f>
        <v>2355.7932692307695</v>
      </c>
      <c r="AN72" s="231">
        <f>+Janvier!AP72</f>
        <v>4711.586538461539</v>
      </c>
      <c r="AO72" s="231">
        <f>+Janvier!AQ72</f>
        <v>2355.7932692307695</v>
      </c>
      <c r="AP72" s="231">
        <f>+Janvier!AR72</f>
        <v>2355.7932692307695</v>
      </c>
      <c r="AQ72" s="231">
        <f>+Janvier!AS72</f>
        <v>4188.0769230769229</v>
      </c>
      <c r="AR72" s="16">
        <f t="shared" si="116"/>
        <v>7</v>
      </c>
      <c r="AS72" s="16">
        <f t="shared" si="117"/>
        <v>4</v>
      </c>
      <c r="AT72" s="16">
        <f t="shared" si="118"/>
        <v>6</v>
      </c>
      <c r="AU72" s="16">
        <f t="shared" si="119"/>
        <v>5</v>
      </c>
      <c r="AV72" s="16">
        <f t="shared" si="120"/>
        <v>4</v>
      </c>
      <c r="AW72" s="16">
        <f t="shared" si="121"/>
        <v>3</v>
      </c>
      <c r="AX72" s="16">
        <f t="shared" si="122"/>
        <v>4</v>
      </c>
      <c r="AY72" s="16">
        <f t="shared" si="123"/>
        <v>5</v>
      </c>
      <c r="AZ72" s="16">
        <f t="shared" si="124"/>
        <v>4</v>
      </c>
      <c r="BA72" s="17">
        <f t="shared" si="125"/>
        <v>6</v>
      </c>
    </row>
    <row r="73" spans="1:53" ht="15.6" x14ac:dyDescent="0.3">
      <c r="A73" s="203" t="s">
        <v>67</v>
      </c>
      <c r="B73" s="257">
        <v>44079</v>
      </c>
      <c r="C73" s="94">
        <v>44106</v>
      </c>
      <c r="D73" s="237">
        <v>9580</v>
      </c>
      <c r="E73" s="96">
        <v>5720</v>
      </c>
      <c r="F73" s="97">
        <v>0</v>
      </c>
      <c r="G73" s="95">
        <v>20160</v>
      </c>
      <c r="H73" s="96">
        <v>11460</v>
      </c>
      <c r="I73" s="97">
        <v>0</v>
      </c>
      <c r="J73" s="95">
        <v>19310</v>
      </c>
      <c r="K73" s="96">
        <v>10320</v>
      </c>
      <c r="L73" s="97">
        <v>0</v>
      </c>
      <c r="M73" s="95">
        <v>17528</v>
      </c>
      <c r="N73" s="96">
        <v>10308</v>
      </c>
      <c r="O73" s="97">
        <v>0</v>
      </c>
      <c r="P73" s="95">
        <v>6957</v>
      </c>
      <c r="Q73" s="96">
        <v>6497</v>
      </c>
      <c r="R73" s="97">
        <v>0</v>
      </c>
      <c r="S73" s="95">
        <v>4455</v>
      </c>
      <c r="T73" s="96">
        <v>3250</v>
      </c>
      <c r="U73" s="97">
        <v>0</v>
      </c>
      <c r="V73" s="95">
        <v>12180</v>
      </c>
      <c r="W73" s="96">
        <v>7890</v>
      </c>
      <c r="X73" s="97">
        <v>0</v>
      </c>
      <c r="Y73" s="95">
        <v>6320</v>
      </c>
      <c r="Z73" s="96">
        <v>3820</v>
      </c>
      <c r="AA73" s="97">
        <v>0</v>
      </c>
      <c r="AB73" s="95">
        <v>6650</v>
      </c>
      <c r="AC73" s="96">
        <v>4000</v>
      </c>
      <c r="AD73" s="97">
        <v>0</v>
      </c>
      <c r="AE73" s="95">
        <v>8940</v>
      </c>
      <c r="AF73" s="96">
        <v>9550</v>
      </c>
      <c r="AG73" s="97">
        <v>0</v>
      </c>
      <c r="AH73" s="265">
        <f>+Janvier!AJ73</f>
        <v>4744.9038461538466</v>
      </c>
      <c r="AI73" s="231">
        <f>+Janvier!AK73</f>
        <v>14761.923076923076</v>
      </c>
      <c r="AJ73" s="231">
        <f>+Janvier!AL73</f>
        <v>11071.442307692309</v>
      </c>
      <c r="AK73" s="231">
        <f>+Janvier!AM73</f>
        <v>11071.442307692309</v>
      </c>
      <c r="AL73" s="231">
        <f>+Janvier!AN73</f>
        <v>6709.9650349650356</v>
      </c>
      <c r="AM73" s="231">
        <f>+Janvier!AO73</f>
        <v>4151.7908653846152</v>
      </c>
      <c r="AN73" s="231">
        <f>+Janvier!AP73</f>
        <v>8303.5817307692305</v>
      </c>
      <c r="AO73" s="231">
        <f>+Janvier!AQ73</f>
        <v>4151.7908653846152</v>
      </c>
      <c r="AP73" s="231">
        <f>+Janvier!AR73</f>
        <v>4151.7908653846152</v>
      </c>
      <c r="AQ73" s="231">
        <f>+Janvier!AS73</f>
        <v>7380.9615384615381</v>
      </c>
      <c r="AR73" s="16">
        <f t="shared" si="116"/>
        <v>6</v>
      </c>
      <c r="AS73" s="16">
        <f t="shared" si="117"/>
        <v>4</v>
      </c>
      <c r="AT73" s="16">
        <f t="shared" si="118"/>
        <v>5</v>
      </c>
      <c r="AU73" s="16">
        <f t="shared" si="119"/>
        <v>5</v>
      </c>
      <c r="AV73" s="16">
        <f t="shared" si="120"/>
        <v>5</v>
      </c>
      <c r="AW73" s="16">
        <f t="shared" si="121"/>
        <v>4</v>
      </c>
      <c r="AX73" s="16">
        <f t="shared" si="122"/>
        <v>5</v>
      </c>
      <c r="AY73" s="16">
        <f t="shared" si="123"/>
        <v>5</v>
      </c>
      <c r="AZ73" s="16">
        <f t="shared" si="124"/>
        <v>5</v>
      </c>
      <c r="BA73" s="17">
        <f t="shared" si="125"/>
        <v>6</v>
      </c>
    </row>
    <row r="74" spans="1:53" ht="15.6" x14ac:dyDescent="0.3">
      <c r="A74" s="203" t="s">
        <v>68</v>
      </c>
      <c r="B74" s="257">
        <v>44079</v>
      </c>
      <c r="C74" s="94">
        <v>44106</v>
      </c>
      <c r="D74" s="237">
        <v>6020</v>
      </c>
      <c r="E74" s="96">
        <v>3740</v>
      </c>
      <c r="F74" s="97">
        <v>0</v>
      </c>
      <c r="G74" s="95">
        <v>17300</v>
      </c>
      <c r="H74" s="96">
        <v>9640</v>
      </c>
      <c r="I74" s="97">
        <v>0</v>
      </c>
      <c r="J74" s="95">
        <v>13580</v>
      </c>
      <c r="K74" s="96">
        <v>7520</v>
      </c>
      <c r="L74" s="97">
        <v>0</v>
      </c>
      <c r="M74" s="95">
        <v>13360</v>
      </c>
      <c r="N74" s="96">
        <v>7800</v>
      </c>
      <c r="O74" s="97">
        <v>0</v>
      </c>
      <c r="P74" s="95">
        <v>7753</v>
      </c>
      <c r="Q74" s="96">
        <v>3473</v>
      </c>
      <c r="R74" s="97">
        <v>0</v>
      </c>
      <c r="S74" s="95">
        <v>4540</v>
      </c>
      <c r="T74" s="96">
        <v>2510</v>
      </c>
      <c r="U74" s="97">
        <v>0</v>
      </c>
      <c r="V74" s="95">
        <v>8860</v>
      </c>
      <c r="W74" s="96">
        <v>5320</v>
      </c>
      <c r="X74" s="97">
        <v>0</v>
      </c>
      <c r="Y74" s="95">
        <v>4630</v>
      </c>
      <c r="Z74" s="96">
        <v>3230</v>
      </c>
      <c r="AA74" s="97">
        <v>0</v>
      </c>
      <c r="AB74" s="95">
        <v>5020</v>
      </c>
      <c r="AC74" s="96">
        <v>2930</v>
      </c>
      <c r="AD74" s="97">
        <v>0</v>
      </c>
      <c r="AE74" s="95">
        <v>7420</v>
      </c>
      <c r="AF74" s="96">
        <v>6930</v>
      </c>
      <c r="AG74" s="97">
        <v>0</v>
      </c>
      <c r="AH74" s="265">
        <f>+Janvier!AJ74</f>
        <v>3278.4478021978025</v>
      </c>
      <c r="AI74" s="231">
        <f>+Janvier!AK74</f>
        <v>10199.615384615387</v>
      </c>
      <c r="AJ74" s="231">
        <f>+Janvier!AL74</f>
        <v>7649.7115384615381</v>
      </c>
      <c r="AK74" s="231">
        <f>+Janvier!AM74</f>
        <v>7649.7115384615381</v>
      </c>
      <c r="AL74" s="231">
        <f>+Janvier!AN74</f>
        <v>4636.188811188812</v>
      </c>
      <c r="AM74" s="231">
        <f>+Janvier!AO74</f>
        <v>2868.6418269230771</v>
      </c>
      <c r="AN74" s="231">
        <f>+Janvier!AP74</f>
        <v>5737.2836538461543</v>
      </c>
      <c r="AO74" s="231">
        <f>+Janvier!AQ74</f>
        <v>2868.6418269230771</v>
      </c>
      <c r="AP74" s="231">
        <f>+Janvier!AR74</f>
        <v>2868.6418269230771</v>
      </c>
      <c r="AQ74" s="231">
        <f>+Janvier!AS74</f>
        <v>5099.8076923076933</v>
      </c>
      <c r="AR74" s="16">
        <f t="shared" si="116"/>
        <v>6</v>
      </c>
      <c r="AS74" s="16">
        <f t="shared" si="117"/>
        <v>5</v>
      </c>
      <c r="AT74" s="16">
        <f t="shared" si="118"/>
        <v>5</v>
      </c>
      <c r="AU74" s="16">
        <f t="shared" si="119"/>
        <v>5</v>
      </c>
      <c r="AV74" s="16">
        <f t="shared" si="120"/>
        <v>4</v>
      </c>
      <c r="AW74" s="16">
        <f t="shared" si="121"/>
        <v>4</v>
      </c>
      <c r="AX74" s="16">
        <f t="shared" si="122"/>
        <v>5</v>
      </c>
      <c r="AY74" s="16">
        <f t="shared" si="123"/>
        <v>6</v>
      </c>
      <c r="AZ74" s="16">
        <f t="shared" si="124"/>
        <v>5</v>
      </c>
      <c r="BA74" s="17">
        <f t="shared" si="125"/>
        <v>7</v>
      </c>
    </row>
    <row r="75" spans="1:53" ht="15.6" x14ac:dyDescent="0.3">
      <c r="A75" s="203" t="s">
        <v>69</v>
      </c>
      <c r="B75" s="257">
        <v>44079</v>
      </c>
      <c r="C75" s="94">
        <v>44106</v>
      </c>
      <c r="D75" s="237">
        <v>8340</v>
      </c>
      <c r="E75" s="96">
        <v>4420</v>
      </c>
      <c r="F75" s="97">
        <v>0</v>
      </c>
      <c r="G75" s="95">
        <v>18540</v>
      </c>
      <c r="H75" s="96">
        <v>12460</v>
      </c>
      <c r="I75" s="97">
        <v>0</v>
      </c>
      <c r="J75" s="95">
        <v>15180</v>
      </c>
      <c r="K75" s="96">
        <v>10140</v>
      </c>
      <c r="L75" s="97">
        <v>0</v>
      </c>
      <c r="M75" s="95">
        <v>16586</v>
      </c>
      <c r="N75" s="96">
        <v>10232</v>
      </c>
      <c r="O75" s="97">
        <v>0</v>
      </c>
      <c r="P75" s="95">
        <v>9821</v>
      </c>
      <c r="Q75" s="96">
        <v>6505</v>
      </c>
      <c r="R75" s="97">
        <v>0</v>
      </c>
      <c r="S75" s="95">
        <v>5425</v>
      </c>
      <c r="T75" s="96">
        <v>3225</v>
      </c>
      <c r="U75" s="97">
        <v>0</v>
      </c>
      <c r="V75" s="95">
        <v>10230</v>
      </c>
      <c r="W75" s="96">
        <v>8870</v>
      </c>
      <c r="X75" s="97">
        <v>0</v>
      </c>
      <c r="Y75" s="95">
        <v>5350</v>
      </c>
      <c r="Z75" s="96">
        <v>2910</v>
      </c>
      <c r="AA75" s="97">
        <v>0</v>
      </c>
      <c r="AB75" s="95">
        <v>6230</v>
      </c>
      <c r="AC75" s="96">
        <v>3790</v>
      </c>
      <c r="AD75" s="97">
        <v>0</v>
      </c>
      <c r="AE75" s="95">
        <v>5420</v>
      </c>
      <c r="AF75" s="96">
        <v>6640</v>
      </c>
      <c r="AG75" s="97">
        <v>0</v>
      </c>
      <c r="AH75" s="265">
        <f>+Janvier!AJ75</f>
        <v>4167.9395604395613</v>
      </c>
      <c r="AI75" s="231">
        <f>+Janvier!AK75</f>
        <v>12966.923076923082</v>
      </c>
      <c r="AJ75" s="231">
        <f>+Janvier!AL75</f>
        <v>9725.1923076923085</v>
      </c>
      <c r="AK75" s="231">
        <f>+Janvier!AM75</f>
        <v>9725.1923076923085</v>
      </c>
      <c r="AL75" s="231">
        <f>+Janvier!AN75</f>
        <v>5894.0559440559446</v>
      </c>
      <c r="AM75" s="231">
        <f>+Janvier!AO75</f>
        <v>3646.9471153846152</v>
      </c>
      <c r="AN75" s="231">
        <f>+Janvier!AP75</f>
        <v>7293.8942307692305</v>
      </c>
      <c r="AO75" s="231">
        <f>+Janvier!AQ75</f>
        <v>3646.9471153846152</v>
      </c>
      <c r="AP75" s="231">
        <f>+Janvier!AR75</f>
        <v>3646.9471153846152</v>
      </c>
      <c r="AQ75" s="231">
        <f>+Janvier!AS75</f>
        <v>6483.4615384615408</v>
      </c>
      <c r="AR75" s="16">
        <f t="shared" si="116"/>
        <v>5</v>
      </c>
      <c r="AS75" s="16">
        <f t="shared" si="117"/>
        <v>5</v>
      </c>
      <c r="AT75" s="16">
        <f t="shared" si="118"/>
        <v>5</v>
      </c>
      <c r="AU75" s="16">
        <f t="shared" si="119"/>
        <v>5</v>
      </c>
      <c r="AV75" s="16">
        <f t="shared" si="120"/>
        <v>6</v>
      </c>
      <c r="AW75" s="16">
        <f t="shared" si="121"/>
        <v>4</v>
      </c>
      <c r="AX75" s="16">
        <f t="shared" si="122"/>
        <v>6</v>
      </c>
      <c r="AY75" s="16">
        <f t="shared" si="123"/>
        <v>4</v>
      </c>
      <c r="AZ75" s="16">
        <f t="shared" si="124"/>
        <v>5</v>
      </c>
      <c r="BA75" s="17">
        <f t="shared" si="125"/>
        <v>5</v>
      </c>
    </row>
    <row r="76" spans="1:53" ht="15.6" x14ac:dyDescent="0.3">
      <c r="A76" s="203" t="s">
        <v>70</v>
      </c>
      <c r="B76" s="257">
        <v>44079</v>
      </c>
      <c r="C76" s="94">
        <v>44106</v>
      </c>
      <c r="D76" s="237">
        <v>3800</v>
      </c>
      <c r="E76" s="96">
        <v>1860</v>
      </c>
      <c r="F76" s="97">
        <v>0</v>
      </c>
      <c r="G76" s="95">
        <v>8780</v>
      </c>
      <c r="H76" s="96">
        <v>5720</v>
      </c>
      <c r="I76" s="97">
        <v>0</v>
      </c>
      <c r="J76" s="95">
        <v>7440</v>
      </c>
      <c r="K76" s="96">
        <v>4780</v>
      </c>
      <c r="L76" s="97">
        <v>0</v>
      </c>
      <c r="M76" s="95">
        <v>7808</v>
      </c>
      <c r="N76" s="96">
        <v>4648</v>
      </c>
      <c r="O76" s="97">
        <v>0</v>
      </c>
      <c r="P76" s="95">
        <v>4870</v>
      </c>
      <c r="Q76" s="96">
        <v>2571</v>
      </c>
      <c r="R76" s="97">
        <v>0</v>
      </c>
      <c r="S76" s="95">
        <v>2540</v>
      </c>
      <c r="T76" s="96">
        <v>1630</v>
      </c>
      <c r="U76" s="97">
        <v>0</v>
      </c>
      <c r="V76" s="95">
        <v>5500</v>
      </c>
      <c r="W76" s="96">
        <v>2820</v>
      </c>
      <c r="X76" s="97">
        <v>0</v>
      </c>
      <c r="Y76" s="95">
        <v>3030</v>
      </c>
      <c r="Z76" s="96">
        <v>1670</v>
      </c>
      <c r="AA76" s="97">
        <v>0</v>
      </c>
      <c r="AB76" s="95">
        <v>3060</v>
      </c>
      <c r="AC76" s="96">
        <v>1660</v>
      </c>
      <c r="AD76" s="97">
        <v>0</v>
      </c>
      <c r="AE76" s="95">
        <v>4470</v>
      </c>
      <c r="AF76" s="96">
        <v>2970</v>
      </c>
      <c r="AG76" s="97">
        <v>0</v>
      </c>
      <c r="AH76" s="265">
        <f>+Janvier!AJ76</f>
        <v>2027.1016483516485</v>
      </c>
      <c r="AI76" s="231">
        <f>+Janvier!AK76</f>
        <v>6306.5384615384628</v>
      </c>
      <c r="AJ76" s="231">
        <f>+Janvier!AL76</f>
        <v>4729.9038461538466</v>
      </c>
      <c r="AK76" s="231">
        <f>+Janvier!AM76</f>
        <v>4729.9038461538466</v>
      </c>
      <c r="AL76" s="231">
        <f>+Janvier!AN76</f>
        <v>2866.6083916083921</v>
      </c>
      <c r="AM76" s="231">
        <f>+Janvier!AO76</f>
        <v>1773.7139423076924</v>
      </c>
      <c r="AN76" s="231">
        <f>+Janvier!AP76</f>
        <v>3547.4278846153848</v>
      </c>
      <c r="AO76" s="231">
        <f>+Janvier!AQ76</f>
        <v>1773.7139423076924</v>
      </c>
      <c r="AP76" s="231">
        <f>+Janvier!AR76</f>
        <v>1773.7139423076924</v>
      </c>
      <c r="AQ76" s="231">
        <f>+Janvier!AS76</f>
        <v>3153.2692307692314</v>
      </c>
      <c r="AR76" s="16">
        <f t="shared" si="116"/>
        <v>5</v>
      </c>
      <c r="AS76" s="16">
        <f t="shared" si="117"/>
        <v>5</v>
      </c>
      <c r="AT76" s="16">
        <f t="shared" si="118"/>
        <v>5</v>
      </c>
      <c r="AU76" s="16">
        <f t="shared" si="119"/>
        <v>5</v>
      </c>
      <c r="AV76" s="16">
        <f t="shared" si="120"/>
        <v>4</v>
      </c>
      <c r="AW76" s="16">
        <f t="shared" si="121"/>
        <v>5</v>
      </c>
      <c r="AX76" s="16">
        <f t="shared" si="122"/>
        <v>4</v>
      </c>
      <c r="AY76" s="16">
        <f t="shared" si="123"/>
        <v>5</v>
      </c>
      <c r="AZ76" s="16">
        <f t="shared" si="124"/>
        <v>5</v>
      </c>
      <c r="BA76" s="17">
        <f t="shared" si="125"/>
        <v>5</v>
      </c>
    </row>
    <row r="77" spans="1:53" ht="15.6" x14ac:dyDescent="0.3">
      <c r="A77" s="203" t="s">
        <v>71</v>
      </c>
      <c r="B77" s="257">
        <v>44079</v>
      </c>
      <c r="C77" s="94">
        <v>44106</v>
      </c>
      <c r="D77" s="237">
        <v>4800</v>
      </c>
      <c r="E77" s="96">
        <v>2280</v>
      </c>
      <c r="F77" s="97">
        <v>0</v>
      </c>
      <c r="G77" s="95">
        <v>14440</v>
      </c>
      <c r="H77" s="96">
        <v>7700</v>
      </c>
      <c r="I77" s="97">
        <v>0</v>
      </c>
      <c r="J77" s="95">
        <v>12800</v>
      </c>
      <c r="K77" s="96">
        <v>9040</v>
      </c>
      <c r="L77" s="97">
        <v>0</v>
      </c>
      <c r="M77" s="95">
        <v>9862</v>
      </c>
      <c r="N77" s="96">
        <v>4892</v>
      </c>
      <c r="O77" s="97">
        <v>0</v>
      </c>
      <c r="P77" s="95">
        <v>7002</v>
      </c>
      <c r="Q77" s="96">
        <v>2964</v>
      </c>
      <c r="R77" s="97">
        <v>0</v>
      </c>
      <c r="S77" s="95">
        <v>2990</v>
      </c>
      <c r="T77" s="96">
        <v>2000</v>
      </c>
      <c r="U77" s="97">
        <v>0</v>
      </c>
      <c r="V77" s="95">
        <v>5710</v>
      </c>
      <c r="W77" s="96">
        <v>2670</v>
      </c>
      <c r="X77" s="97">
        <v>0</v>
      </c>
      <c r="Y77" s="95">
        <v>3080</v>
      </c>
      <c r="Z77" s="96">
        <v>1780</v>
      </c>
      <c r="AA77" s="97">
        <v>0</v>
      </c>
      <c r="AB77" s="95">
        <v>3890</v>
      </c>
      <c r="AC77" s="96">
        <v>3520</v>
      </c>
      <c r="AD77" s="97">
        <v>0</v>
      </c>
      <c r="AE77" s="95">
        <v>3940</v>
      </c>
      <c r="AF77" s="96">
        <v>10040</v>
      </c>
      <c r="AG77" s="97">
        <v>0</v>
      </c>
      <c r="AH77" s="265">
        <f>+Janvier!AJ77</f>
        <v>3524.4642857142853</v>
      </c>
      <c r="AI77" s="231">
        <f>+Janvier!AK77</f>
        <v>10965.000000000002</v>
      </c>
      <c r="AJ77" s="231">
        <f>+Janvier!AL77</f>
        <v>8223.75</v>
      </c>
      <c r="AK77" s="231">
        <f>+Janvier!AM77</f>
        <v>8223.75</v>
      </c>
      <c r="AL77" s="231">
        <f>+Janvier!AN77</f>
        <v>4984.0909090909099</v>
      </c>
      <c r="AM77" s="231">
        <f>+Janvier!AO77</f>
        <v>3083.9062500000005</v>
      </c>
      <c r="AN77" s="231">
        <f>+Janvier!AP77</f>
        <v>6167.8125000000009</v>
      </c>
      <c r="AO77" s="231">
        <f>+Janvier!AQ77</f>
        <v>3083.9062500000005</v>
      </c>
      <c r="AP77" s="231">
        <f>+Janvier!AR77</f>
        <v>3083.9062500000005</v>
      </c>
      <c r="AQ77" s="231">
        <f>+Janvier!AS77</f>
        <v>5482.5000000000009</v>
      </c>
      <c r="AR77" s="16">
        <f t="shared" si="116"/>
        <v>3</v>
      </c>
      <c r="AS77" s="16">
        <f t="shared" si="117"/>
        <v>4</v>
      </c>
      <c r="AT77" s="16">
        <f t="shared" si="118"/>
        <v>5</v>
      </c>
      <c r="AU77" s="16">
        <f t="shared" si="119"/>
        <v>3</v>
      </c>
      <c r="AV77" s="16">
        <f t="shared" si="120"/>
        <v>3</v>
      </c>
      <c r="AW77" s="16">
        <f t="shared" si="121"/>
        <v>3</v>
      </c>
      <c r="AX77" s="16">
        <f t="shared" si="122"/>
        <v>2</v>
      </c>
      <c r="AY77" s="16">
        <f t="shared" si="123"/>
        <v>3</v>
      </c>
      <c r="AZ77" s="16">
        <f t="shared" si="124"/>
        <v>6</v>
      </c>
      <c r="BA77" s="17">
        <f t="shared" si="125"/>
        <v>9</v>
      </c>
    </row>
    <row r="78" spans="1:53" ht="15.6" x14ac:dyDescent="0.3">
      <c r="A78" s="203" t="s">
        <v>72</v>
      </c>
      <c r="B78" s="257">
        <v>44079</v>
      </c>
      <c r="C78" s="94">
        <v>44106</v>
      </c>
      <c r="D78" s="237">
        <v>480</v>
      </c>
      <c r="E78" s="96">
        <v>400</v>
      </c>
      <c r="F78" s="97">
        <v>0</v>
      </c>
      <c r="G78" s="95">
        <v>2000</v>
      </c>
      <c r="H78" s="96">
        <v>1300</v>
      </c>
      <c r="I78" s="97">
        <v>0</v>
      </c>
      <c r="J78" s="95">
        <v>1870</v>
      </c>
      <c r="K78" s="96">
        <v>1000</v>
      </c>
      <c r="L78" s="97">
        <v>0</v>
      </c>
      <c r="M78" s="95">
        <v>1832</v>
      </c>
      <c r="N78" s="96">
        <v>1000</v>
      </c>
      <c r="O78" s="97">
        <v>0</v>
      </c>
      <c r="P78" s="95">
        <v>865</v>
      </c>
      <c r="Q78" s="96">
        <v>600</v>
      </c>
      <c r="R78" s="97">
        <v>0</v>
      </c>
      <c r="S78" s="95">
        <v>430</v>
      </c>
      <c r="T78" s="96">
        <v>400</v>
      </c>
      <c r="U78" s="97">
        <v>0</v>
      </c>
      <c r="V78" s="95">
        <v>170</v>
      </c>
      <c r="W78" s="96">
        <v>730</v>
      </c>
      <c r="X78" s="97">
        <v>0</v>
      </c>
      <c r="Y78" s="95">
        <v>380</v>
      </c>
      <c r="Z78" s="96">
        <v>360</v>
      </c>
      <c r="AA78" s="97">
        <v>0</v>
      </c>
      <c r="AB78" s="95">
        <v>200</v>
      </c>
      <c r="AC78" s="96">
        <v>400</v>
      </c>
      <c r="AD78" s="97">
        <v>0</v>
      </c>
      <c r="AE78" s="95">
        <v>0</v>
      </c>
      <c r="AF78" s="96">
        <v>670</v>
      </c>
      <c r="AG78" s="97">
        <v>0</v>
      </c>
      <c r="AH78" s="265">
        <f>+Janvier!AJ78</f>
        <v>304.98626373626377</v>
      </c>
      <c r="AI78" s="231">
        <f>+Janvier!AK78</f>
        <v>948.84615384615404</v>
      </c>
      <c r="AJ78" s="231">
        <f>+Janvier!AL78</f>
        <v>711.63461538461547</v>
      </c>
      <c r="AK78" s="231">
        <f>+Janvier!AM78</f>
        <v>711.63461538461547</v>
      </c>
      <c r="AL78" s="231">
        <f>+Janvier!AN78</f>
        <v>431.29370629370635</v>
      </c>
      <c r="AM78" s="231">
        <f>+Janvier!AO78</f>
        <v>266.86298076923077</v>
      </c>
      <c r="AN78" s="231">
        <f>+Janvier!AP78</f>
        <v>533.72596153846155</v>
      </c>
      <c r="AO78" s="231">
        <f>+Janvier!AQ78</f>
        <v>266.86298076923077</v>
      </c>
      <c r="AP78" s="231">
        <f>+Janvier!AR78</f>
        <v>266.86298076923077</v>
      </c>
      <c r="AQ78" s="231">
        <f>+Janvier!AS78</f>
        <v>474.42307692307702</v>
      </c>
      <c r="AR78" s="16">
        <f t="shared" si="116"/>
        <v>7</v>
      </c>
      <c r="AS78" s="16">
        <f t="shared" si="117"/>
        <v>7</v>
      </c>
      <c r="AT78" s="16">
        <f t="shared" si="118"/>
        <v>7</v>
      </c>
      <c r="AU78" s="16">
        <f t="shared" si="119"/>
        <v>7</v>
      </c>
      <c r="AV78" s="16">
        <f t="shared" si="120"/>
        <v>7</v>
      </c>
      <c r="AW78" s="16">
        <f t="shared" si="121"/>
        <v>7</v>
      </c>
      <c r="AX78" s="16">
        <f t="shared" si="122"/>
        <v>7</v>
      </c>
      <c r="AY78" s="16">
        <f t="shared" si="123"/>
        <v>7</v>
      </c>
      <c r="AZ78" s="16">
        <f t="shared" si="124"/>
        <v>7</v>
      </c>
      <c r="BA78" s="17">
        <f t="shared" si="125"/>
        <v>7</v>
      </c>
    </row>
    <row r="79" spans="1:53" ht="16.2" thickBot="1" x14ac:dyDescent="0.35">
      <c r="A79" s="203" t="s">
        <v>73</v>
      </c>
      <c r="B79" s="270">
        <v>44079</v>
      </c>
      <c r="C79" s="255">
        <v>44105</v>
      </c>
      <c r="D79" s="269">
        <v>4900</v>
      </c>
      <c r="E79" s="109">
        <v>3340</v>
      </c>
      <c r="F79" s="110">
        <v>0</v>
      </c>
      <c r="G79" s="111">
        <v>13580</v>
      </c>
      <c r="H79" s="109">
        <v>7920</v>
      </c>
      <c r="I79" s="110">
        <v>0</v>
      </c>
      <c r="J79" s="111">
        <v>10450</v>
      </c>
      <c r="K79" s="109">
        <v>6340</v>
      </c>
      <c r="L79" s="110">
        <v>0</v>
      </c>
      <c r="M79" s="111">
        <v>6360</v>
      </c>
      <c r="N79" s="109">
        <v>5100</v>
      </c>
      <c r="O79" s="110">
        <v>0</v>
      </c>
      <c r="P79" s="111">
        <v>5255</v>
      </c>
      <c r="Q79" s="109">
        <v>5164</v>
      </c>
      <c r="R79" s="110">
        <v>0</v>
      </c>
      <c r="S79" s="111">
        <v>2070</v>
      </c>
      <c r="T79" s="109">
        <v>2230</v>
      </c>
      <c r="U79" s="110">
        <v>0</v>
      </c>
      <c r="V79" s="111">
        <v>6210</v>
      </c>
      <c r="W79" s="109">
        <v>4230</v>
      </c>
      <c r="X79" s="110">
        <v>0</v>
      </c>
      <c r="Y79" s="111">
        <v>3330</v>
      </c>
      <c r="Z79" s="109">
        <v>3120</v>
      </c>
      <c r="AA79" s="110">
        <v>0</v>
      </c>
      <c r="AB79" s="111">
        <v>3450</v>
      </c>
      <c r="AC79" s="109">
        <v>2150</v>
      </c>
      <c r="AD79" s="110">
        <v>0</v>
      </c>
      <c r="AE79" s="111">
        <v>4760</v>
      </c>
      <c r="AF79" s="109">
        <v>5260</v>
      </c>
      <c r="AG79" s="110">
        <v>0</v>
      </c>
      <c r="AH79" s="265">
        <f>+Janvier!AJ79</f>
        <v>2652.2802197802202</v>
      </c>
      <c r="AI79" s="231">
        <f>+Janvier!AK79</f>
        <v>8251.5384615384628</v>
      </c>
      <c r="AJ79" s="231">
        <f>+Janvier!AL79</f>
        <v>6188.6538461538466</v>
      </c>
      <c r="AK79" s="231">
        <f>+Janvier!AM79</f>
        <v>6188.6538461538466</v>
      </c>
      <c r="AL79" s="231">
        <f>+Janvier!AN79</f>
        <v>3750.6993006993016</v>
      </c>
      <c r="AM79" s="231">
        <f>+Janvier!AO79</f>
        <v>2320.7451923076924</v>
      </c>
      <c r="AN79" s="231">
        <f>+Janvier!AP79</f>
        <v>4641.4903846153848</v>
      </c>
      <c r="AO79" s="231">
        <f>+Janvier!AQ79</f>
        <v>2320.7451923076924</v>
      </c>
      <c r="AP79" s="231">
        <f>+Janvier!AR79</f>
        <v>2320.7451923076924</v>
      </c>
      <c r="AQ79" s="231">
        <f>+Janvier!AS79</f>
        <v>4125.7692307692314</v>
      </c>
      <c r="AR79" s="32">
        <f t="shared" si="116"/>
        <v>6</v>
      </c>
      <c r="AS79" s="32">
        <f t="shared" si="117"/>
        <v>5</v>
      </c>
      <c r="AT79" s="32">
        <f t="shared" si="118"/>
        <v>5</v>
      </c>
      <c r="AU79" s="32">
        <f t="shared" si="119"/>
        <v>4</v>
      </c>
      <c r="AV79" s="32">
        <f t="shared" si="120"/>
        <v>7</v>
      </c>
      <c r="AW79" s="32">
        <f t="shared" si="121"/>
        <v>5</v>
      </c>
      <c r="AX79" s="32">
        <f t="shared" si="122"/>
        <v>5</v>
      </c>
      <c r="AY79" s="32">
        <f t="shared" si="123"/>
        <v>7</v>
      </c>
      <c r="AZ79" s="32">
        <f t="shared" si="124"/>
        <v>5</v>
      </c>
      <c r="BA79" s="33">
        <f t="shared" si="125"/>
        <v>6</v>
      </c>
    </row>
    <row r="80" spans="1:53" ht="15.6" x14ac:dyDescent="0.3">
      <c r="A80" s="202" t="s">
        <v>90</v>
      </c>
      <c r="B80" s="256">
        <v>44104</v>
      </c>
      <c r="C80" s="160">
        <v>44106</v>
      </c>
      <c r="D80" s="113">
        <v>13000</v>
      </c>
      <c r="E80" s="114">
        <v>14700</v>
      </c>
      <c r="F80" s="115">
        <v>0</v>
      </c>
      <c r="G80" s="113">
        <v>48500</v>
      </c>
      <c r="H80" s="114">
        <v>53500</v>
      </c>
      <c r="I80" s="115">
        <v>0</v>
      </c>
      <c r="J80" s="113">
        <v>34600</v>
      </c>
      <c r="K80" s="114">
        <v>42670</v>
      </c>
      <c r="L80" s="115">
        <v>0</v>
      </c>
      <c r="M80" s="113">
        <v>40000</v>
      </c>
      <c r="N80" s="114">
        <v>40000</v>
      </c>
      <c r="O80" s="115">
        <v>0</v>
      </c>
      <c r="P80" s="113">
        <v>23000</v>
      </c>
      <c r="Q80" s="114">
        <v>25300</v>
      </c>
      <c r="R80" s="115">
        <v>0</v>
      </c>
      <c r="S80" s="113">
        <v>7700</v>
      </c>
      <c r="T80" s="114">
        <v>13400</v>
      </c>
      <c r="U80" s="115">
        <v>0</v>
      </c>
      <c r="V80" s="113">
        <v>19500</v>
      </c>
      <c r="W80" s="114">
        <v>32100</v>
      </c>
      <c r="X80" s="115">
        <v>0</v>
      </c>
      <c r="Y80" s="113">
        <v>14000</v>
      </c>
      <c r="Z80" s="114">
        <v>15800</v>
      </c>
      <c r="AA80" s="115">
        <v>0</v>
      </c>
      <c r="AB80" s="113">
        <v>14000</v>
      </c>
      <c r="AC80" s="114">
        <v>15900</v>
      </c>
      <c r="AD80" s="115">
        <v>0</v>
      </c>
      <c r="AE80" s="113">
        <v>6000</v>
      </c>
      <c r="AF80" s="114">
        <v>17700</v>
      </c>
      <c r="AG80" s="115">
        <v>0</v>
      </c>
      <c r="AH80" s="231">
        <f>+Janvier!AJ80</f>
        <v>17212.634999999998</v>
      </c>
      <c r="AI80" s="231">
        <f>+Janvier!AK80</f>
        <v>59198.798076923078</v>
      </c>
      <c r="AJ80" s="231">
        <f>+Janvier!AL80</f>
        <v>39426.39951923077</v>
      </c>
      <c r="AK80" s="231">
        <f>+Janvier!AM80</f>
        <v>39426.39951923077</v>
      </c>
      <c r="AL80" s="231">
        <f>+Janvier!AN80</f>
        <v>24863.495192307691</v>
      </c>
      <c r="AM80" s="231">
        <f>+Janvier!AO80</f>
        <v>14799.69951923077</v>
      </c>
      <c r="AN80" s="231">
        <f>+Janvier!AP80</f>
        <v>29599.399038461539</v>
      </c>
      <c r="AO80" s="231">
        <f>+Janvier!AQ80</f>
        <v>14799.69951923077</v>
      </c>
      <c r="AP80" s="231">
        <f>+Janvier!AR80</f>
        <v>14799.69951923077</v>
      </c>
      <c r="AQ80" s="231">
        <f>+Janvier!AS80</f>
        <v>26721.713076923079</v>
      </c>
      <c r="AR80" s="16">
        <f>ROUND(E80/(AH80/15),0)</f>
        <v>13</v>
      </c>
      <c r="AS80" s="16">
        <f t="shared" ref="AS80" si="126">ROUND(H80/(AI80/15),0)</f>
        <v>14</v>
      </c>
      <c r="AT80" s="16">
        <f t="shared" ref="AT80" si="127">ROUND(K80/(AJ80/15),0)</f>
        <v>16</v>
      </c>
      <c r="AU80" s="16">
        <f t="shared" ref="AU80" si="128">ROUND(N80/(AK80/15),0)</f>
        <v>15</v>
      </c>
      <c r="AV80" s="16">
        <f t="shared" ref="AV80" si="129">ROUND(Q80/(AL80/15),0)</f>
        <v>15</v>
      </c>
      <c r="AW80" s="16">
        <f t="shared" ref="AW80" si="130">ROUND(T80/(AM80/15),0)</f>
        <v>14</v>
      </c>
      <c r="AX80" s="16">
        <f t="shared" ref="AX80" si="131">ROUND(W80/(AN80/15),0)</f>
        <v>16</v>
      </c>
      <c r="AY80" s="16">
        <f t="shared" ref="AY80" si="132">ROUND(Z80/(AO80/15),0)</f>
        <v>16</v>
      </c>
      <c r="AZ80" s="16">
        <f t="shared" ref="AZ80" si="133">ROUND(AC80/(AP80/15),0)</f>
        <v>16</v>
      </c>
      <c r="BA80" s="17">
        <f t="shared" ref="BA80" si="134">ROUND(AF80/(AQ80/15),0)</f>
        <v>10</v>
      </c>
    </row>
    <row r="81" spans="1:53" ht="15.6" x14ac:dyDescent="0.3">
      <c r="A81" s="199" t="s">
        <v>74</v>
      </c>
      <c r="B81" s="257">
        <v>44104</v>
      </c>
      <c r="C81" s="94">
        <v>44105</v>
      </c>
      <c r="D81" s="116">
        <v>1000</v>
      </c>
      <c r="E81" s="106">
        <v>1720</v>
      </c>
      <c r="F81" s="117">
        <v>0</v>
      </c>
      <c r="G81" s="116">
        <v>4000</v>
      </c>
      <c r="H81" s="106">
        <v>4420</v>
      </c>
      <c r="I81" s="117">
        <v>0</v>
      </c>
      <c r="J81" s="116">
        <v>2400</v>
      </c>
      <c r="K81" s="106">
        <v>3400</v>
      </c>
      <c r="L81" s="117">
        <v>0</v>
      </c>
      <c r="M81" s="116">
        <v>800</v>
      </c>
      <c r="N81" s="106">
        <v>1776</v>
      </c>
      <c r="O81" s="117">
        <v>0</v>
      </c>
      <c r="P81" s="116">
        <v>1600</v>
      </c>
      <c r="Q81" s="106">
        <v>2150</v>
      </c>
      <c r="R81" s="117">
        <v>0</v>
      </c>
      <c r="S81" s="116">
        <v>800</v>
      </c>
      <c r="T81" s="106">
        <v>1195</v>
      </c>
      <c r="U81" s="117">
        <v>0</v>
      </c>
      <c r="V81" s="116">
        <v>1500</v>
      </c>
      <c r="W81" s="106">
        <v>2900</v>
      </c>
      <c r="X81" s="117">
        <v>0</v>
      </c>
      <c r="Y81" s="116">
        <v>1000</v>
      </c>
      <c r="Z81" s="106">
        <v>1730</v>
      </c>
      <c r="AA81" s="117">
        <v>0</v>
      </c>
      <c r="AB81" s="116">
        <v>1000</v>
      </c>
      <c r="AC81" s="106">
        <v>1660</v>
      </c>
      <c r="AD81" s="117">
        <v>0</v>
      </c>
      <c r="AE81" s="116">
        <v>1000</v>
      </c>
      <c r="AF81" s="106">
        <v>2440</v>
      </c>
      <c r="AG81" s="117">
        <v>0</v>
      </c>
      <c r="AH81" s="231">
        <f>+Janvier!AJ81</f>
        <v>1153.1868131868132</v>
      </c>
      <c r="AI81" s="231">
        <f>+Janvier!AK81</f>
        <v>3587.6923076923085</v>
      </c>
      <c r="AJ81" s="231">
        <f>+Janvier!AL81</f>
        <v>2690.7692307692309</v>
      </c>
      <c r="AK81" s="231">
        <f>+Janvier!AM81</f>
        <v>2690.7692307692309</v>
      </c>
      <c r="AL81" s="231">
        <f>+Janvier!AN81</f>
        <v>1630.7692307692312</v>
      </c>
      <c r="AM81" s="231">
        <f>+Janvier!AO81</f>
        <v>1009.0384615384617</v>
      </c>
      <c r="AN81" s="231">
        <f>+Janvier!AP81</f>
        <v>2018.0769230769233</v>
      </c>
      <c r="AO81" s="231">
        <f>+Janvier!AQ81</f>
        <v>1009.0384615384617</v>
      </c>
      <c r="AP81" s="231">
        <f>+Janvier!AR81</f>
        <v>1009.0384615384617</v>
      </c>
      <c r="AQ81" s="231">
        <f>+Janvier!AS81</f>
        <v>1793.8461538461543</v>
      </c>
      <c r="AR81" s="16">
        <f>ROUND(E81/(AH81/5),0)</f>
        <v>7</v>
      </c>
      <c r="AS81" s="16">
        <f t="shared" ref="AS81:AS85" si="135">ROUND(H81/(AI81/5),0)</f>
        <v>6</v>
      </c>
      <c r="AT81" s="16">
        <f t="shared" ref="AT81:AT85" si="136">ROUND(K81/(AJ81/5),0)</f>
        <v>6</v>
      </c>
      <c r="AU81" s="16">
        <f t="shared" ref="AU81:AU85" si="137">ROUND(N81/(AK81/5),0)</f>
        <v>3</v>
      </c>
      <c r="AV81" s="16">
        <f t="shared" ref="AV81:AV85" si="138">ROUND(Q81/(AL81/5),0)</f>
        <v>7</v>
      </c>
      <c r="AW81" s="16">
        <f t="shared" ref="AW81:AW85" si="139">ROUND(T81/(AM81/5),0)</f>
        <v>6</v>
      </c>
      <c r="AX81" s="16">
        <f t="shared" ref="AX81:AX85" si="140">ROUND(W81/(AN81/5),0)</f>
        <v>7</v>
      </c>
      <c r="AY81" s="16">
        <f t="shared" ref="AY81:AY85" si="141">ROUND(Z81/(AO81/5),0)</f>
        <v>9</v>
      </c>
      <c r="AZ81" s="16">
        <f t="shared" ref="AZ81:AZ85" si="142">ROUND(AC81/(AP81/5),0)</f>
        <v>8</v>
      </c>
      <c r="BA81" s="17">
        <f t="shared" ref="BA81:BA85" si="143">ROUND(AF81/(AQ81/5),0)</f>
        <v>7</v>
      </c>
    </row>
    <row r="82" spans="1:53" ht="15.6" x14ac:dyDescent="0.3">
      <c r="A82" s="199" t="s">
        <v>75</v>
      </c>
      <c r="B82" s="257">
        <v>44104</v>
      </c>
      <c r="C82" s="94">
        <v>44105</v>
      </c>
      <c r="D82" s="95">
        <v>1600</v>
      </c>
      <c r="E82" s="96">
        <v>2020</v>
      </c>
      <c r="F82" s="97">
        <v>0</v>
      </c>
      <c r="G82" s="95">
        <v>5000</v>
      </c>
      <c r="H82" s="96">
        <v>5060</v>
      </c>
      <c r="I82" s="97">
        <v>0</v>
      </c>
      <c r="J82" s="95">
        <v>3800</v>
      </c>
      <c r="K82" s="96">
        <v>3850</v>
      </c>
      <c r="L82" s="97">
        <v>0</v>
      </c>
      <c r="M82" s="95">
        <v>2200</v>
      </c>
      <c r="N82" s="96">
        <v>2448</v>
      </c>
      <c r="O82" s="97">
        <v>0</v>
      </c>
      <c r="P82" s="95">
        <v>2400</v>
      </c>
      <c r="Q82" s="96">
        <v>2549</v>
      </c>
      <c r="R82" s="97">
        <v>0</v>
      </c>
      <c r="S82" s="95">
        <v>1300</v>
      </c>
      <c r="T82" s="96">
        <v>1315</v>
      </c>
      <c r="U82" s="97">
        <v>0</v>
      </c>
      <c r="V82" s="95">
        <v>1600</v>
      </c>
      <c r="W82" s="96">
        <v>2860</v>
      </c>
      <c r="X82" s="97">
        <v>0</v>
      </c>
      <c r="Y82" s="95">
        <v>1300</v>
      </c>
      <c r="Z82" s="96">
        <v>1620</v>
      </c>
      <c r="AA82" s="97">
        <v>0</v>
      </c>
      <c r="AB82" s="95">
        <v>1300</v>
      </c>
      <c r="AC82" s="96">
        <v>1610</v>
      </c>
      <c r="AD82" s="97">
        <v>0</v>
      </c>
      <c r="AE82" s="95">
        <v>1200</v>
      </c>
      <c r="AF82" s="96">
        <v>2420</v>
      </c>
      <c r="AG82" s="97">
        <v>0</v>
      </c>
      <c r="AH82" s="231">
        <f>+Janvier!AJ82</f>
        <v>1355.5631868131868</v>
      </c>
      <c r="AI82" s="231">
        <f>+Janvier!AK82</f>
        <v>4217.3076923076924</v>
      </c>
      <c r="AJ82" s="231">
        <f>+Janvier!AL82</f>
        <v>3162.9807692307691</v>
      </c>
      <c r="AK82" s="231">
        <f>+Janvier!AM82</f>
        <v>3162.9807692307691</v>
      </c>
      <c r="AL82" s="231">
        <f>+Janvier!AN82</f>
        <v>1916.9580419580418</v>
      </c>
      <c r="AM82" s="231">
        <f>+Janvier!AO82</f>
        <v>1186.1177884615383</v>
      </c>
      <c r="AN82" s="231">
        <f>+Janvier!AP82</f>
        <v>2372.2355769230767</v>
      </c>
      <c r="AO82" s="231">
        <f>+Janvier!AQ82</f>
        <v>1186.1177884615383</v>
      </c>
      <c r="AP82" s="231">
        <f>+Janvier!AR82</f>
        <v>1186.1177884615383</v>
      </c>
      <c r="AQ82" s="231">
        <f>+Janvier!AS82</f>
        <v>2108.6538461538462</v>
      </c>
      <c r="AR82" s="16">
        <f>ROUND(E82/(AH82/5),0)</f>
        <v>7</v>
      </c>
      <c r="AS82" s="16">
        <f t="shared" si="135"/>
        <v>6</v>
      </c>
      <c r="AT82" s="16">
        <f t="shared" si="136"/>
        <v>6</v>
      </c>
      <c r="AU82" s="16">
        <f t="shared" si="137"/>
        <v>4</v>
      </c>
      <c r="AV82" s="16">
        <f t="shared" si="138"/>
        <v>7</v>
      </c>
      <c r="AW82" s="16">
        <f t="shared" si="139"/>
        <v>6</v>
      </c>
      <c r="AX82" s="16">
        <f t="shared" si="140"/>
        <v>6</v>
      </c>
      <c r="AY82" s="16">
        <f t="shared" si="141"/>
        <v>7</v>
      </c>
      <c r="AZ82" s="16">
        <f t="shared" si="142"/>
        <v>7</v>
      </c>
      <c r="BA82" s="17">
        <f t="shared" si="143"/>
        <v>6</v>
      </c>
    </row>
    <row r="83" spans="1:53" ht="15.6" x14ac:dyDescent="0.3">
      <c r="A83" s="199" t="s">
        <v>76</v>
      </c>
      <c r="B83" s="257">
        <v>44104</v>
      </c>
      <c r="C83" s="94">
        <v>44105</v>
      </c>
      <c r="D83" s="95">
        <v>1700</v>
      </c>
      <c r="E83" s="96">
        <v>2000</v>
      </c>
      <c r="F83" s="97">
        <v>0</v>
      </c>
      <c r="G83" s="95">
        <v>4000</v>
      </c>
      <c r="H83" s="96">
        <v>4100</v>
      </c>
      <c r="I83" s="97">
        <v>0</v>
      </c>
      <c r="J83" s="95">
        <v>2000</v>
      </c>
      <c r="K83" s="96">
        <v>2620</v>
      </c>
      <c r="L83" s="97">
        <v>0</v>
      </c>
      <c r="M83" s="95">
        <v>600</v>
      </c>
      <c r="N83" s="96">
        <v>1328</v>
      </c>
      <c r="O83" s="97">
        <v>0</v>
      </c>
      <c r="P83" s="95">
        <v>950</v>
      </c>
      <c r="Q83" s="96">
        <v>1675</v>
      </c>
      <c r="R83" s="97">
        <v>0</v>
      </c>
      <c r="S83" s="95">
        <v>900</v>
      </c>
      <c r="T83" s="96">
        <v>1190</v>
      </c>
      <c r="U83" s="97">
        <v>0</v>
      </c>
      <c r="V83" s="95">
        <v>1000</v>
      </c>
      <c r="W83" s="96">
        <v>2300</v>
      </c>
      <c r="X83" s="97">
        <v>0</v>
      </c>
      <c r="Y83" s="95">
        <v>700</v>
      </c>
      <c r="Z83" s="96">
        <v>1310</v>
      </c>
      <c r="AA83" s="97">
        <v>0</v>
      </c>
      <c r="AB83" s="95">
        <v>800</v>
      </c>
      <c r="AC83" s="96">
        <v>1330</v>
      </c>
      <c r="AD83" s="97">
        <v>0</v>
      </c>
      <c r="AE83" s="95">
        <v>500</v>
      </c>
      <c r="AF83" s="96">
        <v>1700</v>
      </c>
      <c r="AG83" s="97">
        <v>0</v>
      </c>
      <c r="AH83" s="231">
        <f>+Janvier!AJ83</f>
        <v>895.92032967032981</v>
      </c>
      <c r="AI83" s="231">
        <f>+Janvier!AK83</f>
        <v>2787.3076923076928</v>
      </c>
      <c r="AJ83" s="231">
        <f>+Janvier!AL83</f>
        <v>2090.4807692307695</v>
      </c>
      <c r="AK83" s="231">
        <f>+Janvier!AM83</f>
        <v>2090.4807692307695</v>
      </c>
      <c r="AL83" s="231">
        <f>+Janvier!AN83</f>
        <v>1266.958041958042</v>
      </c>
      <c r="AM83" s="231">
        <f>+Janvier!AO83</f>
        <v>783.93028846153834</v>
      </c>
      <c r="AN83" s="231">
        <f>+Janvier!AP83</f>
        <v>1567.8605769230767</v>
      </c>
      <c r="AO83" s="231">
        <f>+Janvier!AQ83</f>
        <v>783.93028846153834</v>
      </c>
      <c r="AP83" s="231">
        <f>+Janvier!AR83</f>
        <v>783.93028846153834</v>
      </c>
      <c r="AQ83" s="231">
        <f>+Janvier!AS83</f>
        <v>1393.6538461538464</v>
      </c>
      <c r="AR83" s="16">
        <f>ROUND(E83/(AH83/5),0)</f>
        <v>11</v>
      </c>
      <c r="AS83" s="16">
        <f t="shared" si="135"/>
        <v>7</v>
      </c>
      <c r="AT83" s="16">
        <f t="shared" si="136"/>
        <v>6</v>
      </c>
      <c r="AU83" s="16">
        <f t="shared" si="137"/>
        <v>3</v>
      </c>
      <c r="AV83" s="16">
        <f t="shared" si="138"/>
        <v>7</v>
      </c>
      <c r="AW83" s="16">
        <f t="shared" si="139"/>
        <v>8</v>
      </c>
      <c r="AX83" s="16">
        <f t="shared" si="140"/>
        <v>7</v>
      </c>
      <c r="AY83" s="16">
        <f t="shared" si="141"/>
        <v>8</v>
      </c>
      <c r="AZ83" s="16">
        <f t="shared" si="142"/>
        <v>8</v>
      </c>
      <c r="BA83" s="17">
        <f t="shared" si="143"/>
        <v>6</v>
      </c>
    </row>
    <row r="84" spans="1:53" ht="15.6" x14ac:dyDescent="0.3">
      <c r="A84" s="199" t="s">
        <v>77</v>
      </c>
      <c r="B84" s="257">
        <v>44104</v>
      </c>
      <c r="C84" s="94">
        <v>44105</v>
      </c>
      <c r="D84" s="95">
        <v>1800</v>
      </c>
      <c r="E84" s="96">
        <v>2080</v>
      </c>
      <c r="F84" s="97">
        <v>0</v>
      </c>
      <c r="G84" s="95">
        <v>5000</v>
      </c>
      <c r="H84" s="96">
        <v>5940</v>
      </c>
      <c r="I84" s="97">
        <v>0</v>
      </c>
      <c r="J84" s="95">
        <v>3800</v>
      </c>
      <c r="K84" s="96">
        <v>4140</v>
      </c>
      <c r="L84" s="97">
        <v>0</v>
      </c>
      <c r="M84" s="95">
        <v>2800</v>
      </c>
      <c r="N84" s="96">
        <v>3856</v>
      </c>
      <c r="O84" s="97">
        <v>0</v>
      </c>
      <c r="P84" s="95">
        <v>2500</v>
      </c>
      <c r="Q84" s="96">
        <v>2550</v>
      </c>
      <c r="R84" s="97">
        <v>0</v>
      </c>
      <c r="S84" s="95">
        <v>1100</v>
      </c>
      <c r="T84" s="96">
        <v>1610</v>
      </c>
      <c r="U84" s="97">
        <v>0</v>
      </c>
      <c r="V84" s="95">
        <v>1500</v>
      </c>
      <c r="W84" s="96">
        <v>2910</v>
      </c>
      <c r="X84" s="97">
        <v>0</v>
      </c>
      <c r="Y84" s="95">
        <v>1000</v>
      </c>
      <c r="Z84" s="96">
        <v>1560</v>
      </c>
      <c r="AA84" s="97">
        <v>0</v>
      </c>
      <c r="AB84" s="95">
        <v>1000</v>
      </c>
      <c r="AC84" s="96">
        <v>1580</v>
      </c>
      <c r="AD84" s="97">
        <v>0</v>
      </c>
      <c r="AE84" s="95">
        <v>1000</v>
      </c>
      <c r="AF84" s="96">
        <v>2650</v>
      </c>
      <c r="AG84" s="97">
        <v>0</v>
      </c>
      <c r="AH84" s="231">
        <f>+Janvier!AJ84</f>
        <v>1507.1291208791208</v>
      </c>
      <c r="AI84" s="231">
        <f>+Janvier!AK84</f>
        <v>4688.8461538461534</v>
      </c>
      <c r="AJ84" s="231">
        <f>+Janvier!AL84</f>
        <v>3516.6346153846152</v>
      </c>
      <c r="AK84" s="231">
        <f>+Janvier!AM84</f>
        <v>3516.6346153846152</v>
      </c>
      <c r="AL84" s="231">
        <f>+Janvier!AN84</f>
        <v>2131.2937062937062</v>
      </c>
      <c r="AM84" s="231">
        <f>+Janvier!AO84</f>
        <v>1318.7379807692307</v>
      </c>
      <c r="AN84" s="231">
        <f>+Janvier!AP84</f>
        <v>2637.4759615384614</v>
      </c>
      <c r="AO84" s="231">
        <f>+Janvier!AQ84</f>
        <v>1318.7379807692307</v>
      </c>
      <c r="AP84" s="231">
        <f>+Janvier!AR84</f>
        <v>1318.7379807692307</v>
      </c>
      <c r="AQ84" s="231">
        <f>+Janvier!AS84</f>
        <v>2344.4230769230767</v>
      </c>
      <c r="AR84" s="16">
        <f>ROUND(E84/(AH84/5),0)</f>
        <v>7</v>
      </c>
      <c r="AS84" s="16">
        <f t="shared" si="135"/>
        <v>6</v>
      </c>
      <c r="AT84" s="16">
        <f t="shared" si="136"/>
        <v>6</v>
      </c>
      <c r="AU84" s="16">
        <f t="shared" si="137"/>
        <v>5</v>
      </c>
      <c r="AV84" s="16">
        <f t="shared" si="138"/>
        <v>6</v>
      </c>
      <c r="AW84" s="16">
        <f t="shared" si="139"/>
        <v>6</v>
      </c>
      <c r="AX84" s="16">
        <f t="shared" si="140"/>
        <v>6</v>
      </c>
      <c r="AY84" s="16">
        <f t="shared" si="141"/>
        <v>6</v>
      </c>
      <c r="AZ84" s="16">
        <f t="shared" si="142"/>
        <v>6</v>
      </c>
      <c r="BA84" s="17">
        <f t="shared" si="143"/>
        <v>6</v>
      </c>
    </row>
    <row r="85" spans="1:53" ht="15" thickBot="1" x14ac:dyDescent="0.35">
      <c r="A85" s="121" t="s">
        <v>78</v>
      </c>
      <c r="B85" s="258">
        <v>44104</v>
      </c>
      <c r="C85" s="143">
        <v>44105</v>
      </c>
      <c r="D85" s="111">
        <v>700</v>
      </c>
      <c r="E85" s="109">
        <v>840</v>
      </c>
      <c r="F85" s="110">
        <v>0</v>
      </c>
      <c r="G85" s="111">
        <v>2500</v>
      </c>
      <c r="H85" s="109">
        <v>2940</v>
      </c>
      <c r="I85" s="110">
        <v>0</v>
      </c>
      <c r="J85" s="111">
        <v>1800</v>
      </c>
      <c r="K85" s="109">
        <v>2260</v>
      </c>
      <c r="L85" s="110">
        <v>0</v>
      </c>
      <c r="M85" s="111">
        <v>800</v>
      </c>
      <c r="N85" s="109">
        <v>1372</v>
      </c>
      <c r="O85" s="110">
        <v>0</v>
      </c>
      <c r="P85" s="111">
        <v>1150</v>
      </c>
      <c r="Q85" s="109">
        <v>1450</v>
      </c>
      <c r="R85" s="110">
        <v>0</v>
      </c>
      <c r="S85" s="111">
        <v>600</v>
      </c>
      <c r="T85" s="109">
        <v>605</v>
      </c>
      <c r="U85" s="110">
        <v>0</v>
      </c>
      <c r="V85" s="111">
        <v>700</v>
      </c>
      <c r="W85" s="109">
        <v>1820</v>
      </c>
      <c r="X85" s="110">
        <v>0</v>
      </c>
      <c r="Y85" s="111">
        <v>400</v>
      </c>
      <c r="Z85" s="109">
        <v>860</v>
      </c>
      <c r="AA85" s="110">
        <v>0</v>
      </c>
      <c r="AB85" s="111">
        <v>400</v>
      </c>
      <c r="AC85" s="109">
        <v>840</v>
      </c>
      <c r="AD85" s="110">
        <v>0</v>
      </c>
      <c r="AE85" s="111">
        <v>500</v>
      </c>
      <c r="AF85" s="109">
        <v>1430</v>
      </c>
      <c r="AG85" s="110">
        <v>0</v>
      </c>
      <c r="AH85" s="231">
        <f>+Janvier!AJ85</f>
        <v>726.18131868131866</v>
      </c>
      <c r="AI85" s="231">
        <f>+Janvier!AK85</f>
        <v>2259.2307692307695</v>
      </c>
      <c r="AJ85" s="231">
        <f>+Janvier!AL85</f>
        <v>1694.4230769230774</v>
      </c>
      <c r="AK85" s="231">
        <f>+Janvier!AM85</f>
        <v>1694.4230769230774</v>
      </c>
      <c r="AL85" s="231">
        <f>+Janvier!AN85</f>
        <v>1026.9230769230771</v>
      </c>
      <c r="AM85" s="231">
        <f>+Janvier!AO85</f>
        <v>635.40865384615381</v>
      </c>
      <c r="AN85" s="231">
        <f>+Janvier!AP85</f>
        <v>1270.8173076923076</v>
      </c>
      <c r="AO85" s="231">
        <f>+Janvier!AQ85</f>
        <v>635.40865384615381</v>
      </c>
      <c r="AP85" s="231">
        <f>+Janvier!AR85</f>
        <v>635.40865384615381</v>
      </c>
      <c r="AQ85" s="231">
        <f>+Janvier!AS85</f>
        <v>1129.6153846153848</v>
      </c>
      <c r="AR85" s="16">
        <f>ROUND(E85/(AH85/5),0)</f>
        <v>6</v>
      </c>
      <c r="AS85" s="16">
        <f t="shared" si="135"/>
        <v>7</v>
      </c>
      <c r="AT85" s="16">
        <f t="shared" si="136"/>
        <v>7</v>
      </c>
      <c r="AU85" s="16">
        <f t="shared" si="137"/>
        <v>4</v>
      </c>
      <c r="AV85" s="16">
        <f t="shared" si="138"/>
        <v>7</v>
      </c>
      <c r="AW85" s="16">
        <f t="shared" si="139"/>
        <v>5</v>
      </c>
      <c r="AX85" s="16">
        <f t="shared" si="140"/>
        <v>7</v>
      </c>
      <c r="AY85" s="16">
        <f t="shared" si="141"/>
        <v>7</v>
      </c>
      <c r="AZ85" s="16">
        <f t="shared" si="142"/>
        <v>7</v>
      </c>
      <c r="BA85" s="17">
        <f t="shared" si="143"/>
        <v>6</v>
      </c>
    </row>
    <row r="86" spans="1:53" x14ac:dyDescent="0.3">
      <c r="B86" s="192"/>
      <c r="C86" s="3"/>
      <c r="D86" s="3"/>
      <c r="E86" s="192"/>
      <c r="F86" s="192"/>
      <c r="G86" s="192"/>
      <c r="H86" s="192"/>
      <c r="I86" s="192"/>
      <c r="J86" s="192"/>
      <c r="K86" s="192"/>
      <c r="L86" s="192"/>
      <c r="M86" s="192"/>
      <c r="N86" s="192"/>
      <c r="O86" s="192"/>
      <c r="P86" s="192"/>
      <c r="Q86" s="192"/>
      <c r="R86" s="192"/>
      <c r="S86" s="192"/>
      <c r="T86" s="192"/>
      <c r="U86" s="192"/>
      <c r="V86" s="192"/>
      <c r="W86" s="192"/>
      <c r="X86" s="192"/>
      <c r="Y86" s="192"/>
      <c r="Z86" s="192"/>
      <c r="AA86" s="192"/>
      <c r="AB86" s="192"/>
      <c r="AC86" s="192"/>
      <c r="AD86" s="192"/>
      <c r="AE86" s="192"/>
      <c r="AF86" s="192"/>
      <c r="AG86" s="192"/>
      <c r="AR86" s="183" t="s">
        <v>2</v>
      </c>
      <c r="AS86" s="183" t="s">
        <v>80</v>
      </c>
      <c r="AT86" s="183" t="s">
        <v>81</v>
      </c>
      <c r="AU86" s="183" t="s">
        <v>5</v>
      </c>
      <c r="AV86" s="183" t="s">
        <v>82</v>
      </c>
      <c r="AW86" s="183" t="s">
        <v>7</v>
      </c>
      <c r="AX86" s="183" t="s">
        <v>8</v>
      </c>
      <c r="AY86" s="183" t="s">
        <v>9</v>
      </c>
      <c r="AZ86" s="183" t="s">
        <v>10</v>
      </c>
      <c r="BA86" s="183" t="s">
        <v>11</v>
      </c>
    </row>
    <row r="87" spans="1:53" x14ac:dyDescent="0.3">
      <c r="B87" s="192"/>
      <c r="C87" s="3"/>
      <c r="D87" s="3"/>
      <c r="E87" s="192"/>
      <c r="F87" s="192"/>
      <c r="G87" s="192"/>
      <c r="H87" s="192"/>
      <c r="I87" s="192"/>
      <c r="J87" s="192"/>
      <c r="K87" s="192"/>
      <c r="L87" s="192"/>
      <c r="M87" s="192"/>
      <c r="N87" s="192"/>
      <c r="O87" s="192"/>
      <c r="P87" s="192"/>
      <c r="Q87" s="192"/>
      <c r="R87" s="192"/>
      <c r="S87" s="192"/>
      <c r="T87" s="192"/>
      <c r="U87" s="192"/>
      <c r="V87" s="192"/>
      <c r="W87" s="192"/>
      <c r="X87" s="192"/>
      <c r="Y87" s="192"/>
      <c r="Z87" s="192"/>
      <c r="AA87" s="192"/>
      <c r="AB87" s="192"/>
      <c r="AC87" s="192"/>
      <c r="AD87" s="192"/>
      <c r="AE87" s="192"/>
      <c r="AF87" s="192"/>
      <c r="AG87" s="192"/>
    </row>
  </sheetData>
  <autoFilter ref="A3:BA86" xr:uid="{27A24CB5-5536-4432-BF0A-5EF11B4C0BA4}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</autoFilter>
  <mergeCells count="16">
    <mergeCell ref="D3:AF3"/>
    <mergeCell ref="AE4:AG4"/>
    <mergeCell ref="A1:AF1"/>
    <mergeCell ref="AH3:AQ3"/>
    <mergeCell ref="AR3:BA3"/>
    <mergeCell ref="A4:A5"/>
    <mergeCell ref="B4:C4"/>
    <mergeCell ref="D4:F4"/>
    <mergeCell ref="G4:I4"/>
    <mergeCell ref="J4:L4"/>
    <mergeCell ref="M4:O4"/>
    <mergeCell ref="P4:R4"/>
    <mergeCell ref="S4:U4"/>
    <mergeCell ref="V4:X4"/>
    <mergeCell ref="Y4:AA4"/>
    <mergeCell ref="AB4:AD4"/>
  </mergeCells>
  <conditionalFormatting sqref="AR6:BA6 AR14:BA14 AR21:BA21 AR30:BA30 AR40:BA40 AR54:BA54 AR68:BA68 AR80:BA80">
    <cfRule type="cellIs" dxfId="55" priority="5" operator="lessThanOrEqual">
      <formula>3</formula>
    </cfRule>
    <cfRule type="cellIs" dxfId="54" priority="6" operator="between">
      <formula>3.01</formula>
      <formula>5</formula>
    </cfRule>
    <cfRule type="cellIs" dxfId="53" priority="7" operator="between">
      <formula>5.01</formula>
      <formula>15</formula>
    </cfRule>
    <cfRule type="cellIs" dxfId="52" priority="8" operator="greaterThan">
      <formula>15</formula>
    </cfRule>
  </conditionalFormatting>
  <conditionalFormatting sqref="AR7:BA13 AR15:BA20 AR22:BA29 AR31:BA39 AR41:BA53 AR55:BA67 AR69:BA79 AR81:BA85">
    <cfRule type="cellIs" dxfId="51" priority="1" operator="lessThanOrEqual">
      <formula>1</formula>
    </cfRule>
    <cfRule type="cellIs" dxfId="50" priority="2" operator="between">
      <formula>1.01</formula>
      <formula>2</formula>
    </cfRule>
    <cfRule type="cellIs" dxfId="49" priority="3" operator="between">
      <formula>2.01</formula>
      <formula>5</formula>
    </cfRule>
    <cfRule type="cellIs" dxfId="48" priority="4" operator="greaterThan">
      <formula>5</formula>
    </cfRule>
  </conditionalFormatting>
  <dataValidations count="1">
    <dataValidation type="decimal" allowBlank="1" showInputMessage="1" showErrorMessage="1" promptTitle="Coverage:" prompt="Indicate the targeted immunization coverage for the current year." sqref="AH5:AQ5" xr:uid="{00000000-0002-0000-0800-000000000000}">
      <formula1>0</formula1>
      <formula2>1</formula2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Janvier</vt:lpstr>
      <vt:lpstr>Fevrier</vt:lpstr>
      <vt:lpstr>Mars</vt:lpstr>
      <vt:lpstr>Avril</vt:lpstr>
      <vt:lpstr>Mai</vt:lpstr>
      <vt:lpstr>Juin</vt:lpstr>
      <vt:lpstr>Juillet</vt:lpstr>
      <vt:lpstr>Aout</vt:lpstr>
      <vt:lpstr>Sept</vt:lpstr>
      <vt:lpstr>Oct</vt:lpstr>
      <vt:lpstr>Nov</vt:lpstr>
      <vt:lpstr>Dec</vt:lpstr>
      <vt:lpstr>TOT</vt:lpstr>
      <vt:lpstr>Stock debut annee</vt:lpstr>
      <vt:lpstr>Doses Recues</vt:lpstr>
      <vt:lpstr>Doses utilisée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 Ganivet</dc:creator>
  <cp:lastModifiedBy>jkalambo</cp:lastModifiedBy>
  <cp:lastPrinted>2019-09-10T12:45:00Z</cp:lastPrinted>
  <dcterms:created xsi:type="dcterms:W3CDTF">2019-03-19T11:07:43Z</dcterms:created>
  <dcterms:modified xsi:type="dcterms:W3CDTF">2020-10-08T15:59:12Z</dcterms:modified>
</cp:coreProperties>
</file>