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ndre\Downloads\"/>
    </mc:Choice>
  </mc:AlternateContent>
  <xr:revisionPtr revIDLastSave="0" documentId="13_ncr:1_{4C393977-6DE5-41AF-A76F-46A5B05041C8}" xr6:coauthVersionLast="47" xr6:coauthVersionMax="47" xr10:uidLastSave="{00000000-0000-0000-0000-000000000000}"/>
  <bookViews>
    <workbookView xWindow="-108" yWindow="-108" windowWidth="23256" windowHeight="12456" xr2:uid="{00000000-000D-0000-FFFF-FFFF00000000}"/>
  </bookViews>
  <sheets>
    <sheet name="BOM_OpenBook" sheetId="1" r:id="rId1"/>
    <sheet name="Unique_Per_Column" sheetId="2" r:id="rId2"/>
    <sheet name="Components3D" sheetId="3" r:id="rId3"/>
    <sheet name="Sheet4" sheetId="4" r:id="rId4"/>
  </sheets>
  <definedNames>
    <definedName name="_xlnm._FilterDatabase" localSheetId="2" hidden="1">Components3D!$A$1:$H$104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4" i="3" l="1"/>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G104" i="3"/>
  <c r="F104" i="3"/>
  <c r="E104" i="3"/>
  <c r="D104" i="3"/>
  <c r="C104" i="3"/>
  <c r="B104" i="3"/>
  <c r="A104" i="3"/>
  <c r="G103" i="3"/>
  <c r="F103" i="3"/>
  <c r="E103" i="3"/>
  <c r="D103" i="3"/>
  <c r="C103" i="3"/>
  <c r="B103" i="3"/>
  <c r="A103" i="3"/>
  <c r="G102" i="3"/>
  <c r="F102" i="3"/>
  <c r="E102" i="3"/>
  <c r="D102" i="3"/>
  <c r="C102" i="3"/>
  <c r="B102" i="3"/>
  <c r="A102" i="3"/>
  <c r="G101" i="3"/>
  <c r="F101" i="3"/>
  <c r="E101" i="3"/>
  <c r="D101" i="3"/>
  <c r="C101" i="3"/>
  <c r="B101" i="3"/>
  <c r="A101" i="3"/>
  <c r="G100" i="3"/>
  <c r="F100" i="3"/>
  <c r="E100" i="3"/>
  <c r="D100" i="3"/>
  <c r="C100" i="3"/>
  <c r="B100" i="3"/>
  <c r="A100" i="3"/>
  <c r="G99" i="3"/>
  <c r="F99" i="3"/>
  <c r="E99" i="3"/>
  <c r="D99" i="3"/>
  <c r="C99" i="3"/>
  <c r="B99" i="3"/>
  <c r="A99" i="3"/>
  <c r="G98" i="3"/>
  <c r="F98" i="3"/>
  <c r="E98" i="3"/>
  <c r="D98" i="3"/>
  <c r="C98" i="3"/>
  <c r="B98" i="3"/>
  <c r="A98" i="3"/>
  <c r="G97" i="3"/>
  <c r="F97" i="3"/>
  <c r="E97" i="3"/>
  <c r="D97" i="3"/>
  <c r="C97" i="3"/>
  <c r="B97" i="3"/>
  <c r="A97" i="3"/>
  <c r="G96" i="3"/>
  <c r="F96" i="3"/>
  <c r="E96" i="3"/>
  <c r="D96" i="3"/>
  <c r="C96" i="3"/>
  <c r="B96" i="3"/>
  <c r="A96" i="3"/>
  <c r="G95" i="3"/>
  <c r="F95" i="3"/>
  <c r="E95" i="3"/>
  <c r="D95" i="3"/>
  <c r="C95" i="3"/>
  <c r="B95" i="3"/>
  <c r="A95" i="3"/>
  <c r="G94" i="3"/>
  <c r="F94" i="3"/>
  <c r="E94" i="3"/>
  <c r="D94" i="3"/>
  <c r="C94" i="3"/>
  <c r="B94" i="3"/>
  <c r="A94" i="3"/>
  <c r="G93" i="3"/>
  <c r="F93" i="3"/>
  <c r="E93" i="3"/>
  <c r="D93" i="3"/>
  <c r="C93" i="3"/>
  <c r="B93" i="3"/>
  <c r="A93" i="3"/>
  <c r="G92" i="3"/>
  <c r="F92" i="3"/>
  <c r="E92" i="3"/>
  <c r="D92" i="3"/>
  <c r="C92" i="3"/>
  <c r="B92" i="3"/>
  <c r="A92" i="3"/>
  <c r="G91" i="3"/>
  <c r="F91" i="3"/>
  <c r="E91" i="3"/>
  <c r="D91" i="3"/>
  <c r="C91" i="3"/>
  <c r="B91" i="3"/>
  <c r="A91" i="3"/>
  <c r="G90" i="3"/>
  <c r="F90" i="3"/>
  <c r="E90" i="3"/>
  <c r="D90" i="3"/>
  <c r="C90" i="3"/>
  <c r="B90" i="3"/>
  <c r="A90" i="3"/>
  <c r="G89" i="3"/>
  <c r="F89" i="3"/>
  <c r="E89" i="3"/>
  <c r="D89" i="3"/>
  <c r="C89" i="3"/>
  <c r="B89" i="3"/>
  <c r="A89" i="3"/>
  <c r="G88" i="3"/>
  <c r="F88" i="3"/>
  <c r="E88" i="3"/>
  <c r="D88" i="3"/>
  <c r="C88" i="3"/>
  <c r="B88" i="3"/>
  <c r="A88" i="3"/>
  <c r="G87" i="3"/>
  <c r="F87" i="3"/>
  <c r="E87" i="3"/>
  <c r="D87" i="3"/>
  <c r="C87" i="3"/>
  <c r="B87" i="3"/>
  <c r="A87" i="3"/>
  <c r="G86" i="3"/>
  <c r="F86" i="3"/>
  <c r="E86" i="3"/>
  <c r="D86" i="3"/>
  <c r="C86" i="3"/>
  <c r="B86" i="3"/>
  <c r="A86" i="3"/>
  <c r="G85" i="3"/>
  <c r="F85" i="3"/>
  <c r="E85" i="3"/>
  <c r="D85" i="3"/>
  <c r="C85" i="3"/>
  <c r="B85" i="3"/>
  <c r="A85" i="3"/>
  <c r="G84" i="3"/>
  <c r="F84" i="3"/>
  <c r="E84" i="3"/>
  <c r="D84" i="3"/>
  <c r="C84" i="3"/>
  <c r="B84" i="3"/>
  <c r="A84" i="3"/>
  <c r="G83" i="3"/>
  <c r="F83" i="3"/>
  <c r="E83" i="3"/>
  <c r="D83" i="3"/>
  <c r="C83" i="3"/>
  <c r="B83" i="3"/>
  <c r="A83" i="3"/>
  <c r="G82" i="3"/>
  <c r="F82" i="3"/>
  <c r="E82" i="3"/>
  <c r="D82" i="3"/>
  <c r="C82" i="3"/>
  <c r="B82" i="3"/>
  <c r="A82" i="3"/>
  <c r="G81" i="3"/>
  <c r="F81" i="3"/>
  <c r="E81" i="3"/>
  <c r="D81" i="3"/>
  <c r="C81" i="3"/>
  <c r="B81" i="3"/>
  <c r="A81" i="3"/>
  <c r="G80" i="3"/>
  <c r="F80" i="3"/>
  <c r="E80" i="3"/>
  <c r="D80" i="3"/>
  <c r="C80" i="3"/>
  <c r="B80" i="3"/>
  <c r="A80" i="3"/>
  <c r="G79" i="3"/>
  <c r="F79" i="3"/>
  <c r="E79" i="3"/>
  <c r="D79" i="3"/>
  <c r="C79" i="3"/>
  <c r="B79" i="3"/>
  <c r="A79" i="3"/>
  <c r="G78" i="3"/>
  <c r="F78" i="3"/>
  <c r="E78" i="3"/>
  <c r="D78" i="3"/>
  <c r="C78" i="3"/>
  <c r="B78" i="3"/>
  <c r="A78" i="3"/>
  <c r="G77" i="3"/>
  <c r="F77" i="3"/>
  <c r="E77" i="3"/>
  <c r="D77" i="3"/>
  <c r="C77" i="3"/>
  <c r="B77" i="3"/>
  <c r="A77" i="3"/>
  <c r="G76" i="3"/>
  <c r="F76" i="3"/>
  <c r="E76" i="3"/>
  <c r="D76" i="3"/>
  <c r="C76" i="3"/>
  <c r="B76" i="3"/>
  <c r="A76" i="3"/>
  <c r="G75" i="3"/>
  <c r="F75" i="3"/>
  <c r="E75" i="3"/>
  <c r="D75" i="3"/>
  <c r="C75" i="3"/>
  <c r="B75" i="3"/>
  <c r="A75" i="3"/>
  <c r="G74" i="3"/>
  <c r="F74" i="3"/>
  <c r="E74" i="3"/>
  <c r="D74" i="3"/>
  <c r="C74" i="3"/>
  <c r="B74" i="3"/>
  <c r="A74" i="3"/>
  <c r="G73" i="3"/>
  <c r="F73" i="3"/>
  <c r="E73" i="3"/>
  <c r="D73" i="3"/>
  <c r="C73" i="3"/>
  <c r="B73" i="3"/>
  <c r="A73" i="3"/>
  <c r="G72" i="3"/>
  <c r="F72" i="3"/>
  <c r="E72" i="3"/>
  <c r="D72" i="3"/>
  <c r="C72" i="3"/>
  <c r="B72" i="3"/>
  <c r="A72" i="3"/>
  <c r="G71" i="3"/>
  <c r="F71" i="3"/>
  <c r="E71" i="3"/>
  <c r="D71" i="3"/>
  <c r="C71" i="3"/>
  <c r="B71" i="3"/>
  <c r="A71" i="3"/>
  <c r="G70" i="3"/>
  <c r="F70" i="3"/>
  <c r="E70" i="3"/>
  <c r="D70" i="3"/>
  <c r="C70" i="3"/>
  <c r="B70" i="3"/>
  <c r="A70" i="3"/>
  <c r="G69" i="3"/>
  <c r="F69" i="3"/>
  <c r="E69" i="3"/>
  <c r="D69" i="3"/>
  <c r="C69" i="3"/>
  <c r="B69" i="3"/>
  <c r="A69" i="3"/>
  <c r="G68" i="3"/>
  <c r="F68" i="3"/>
  <c r="E68" i="3"/>
  <c r="D68" i="3"/>
  <c r="C68" i="3"/>
  <c r="B68" i="3"/>
  <c r="A68" i="3"/>
  <c r="G67" i="3"/>
  <c r="F67" i="3"/>
  <c r="E67" i="3"/>
  <c r="D67" i="3"/>
  <c r="C67" i="3"/>
  <c r="B67" i="3"/>
  <c r="A67" i="3"/>
  <c r="G66" i="3"/>
  <c r="F66" i="3"/>
  <c r="E66" i="3"/>
  <c r="D66" i="3"/>
  <c r="C66" i="3"/>
  <c r="B66" i="3"/>
  <c r="A66" i="3"/>
  <c r="G65" i="3"/>
  <c r="F65" i="3"/>
  <c r="E65" i="3"/>
  <c r="D65" i="3"/>
  <c r="C65" i="3"/>
  <c r="B65" i="3"/>
  <c r="A65" i="3"/>
  <c r="G64" i="3"/>
  <c r="F64" i="3"/>
  <c r="E64" i="3"/>
  <c r="D64" i="3"/>
  <c r="C64" i="3"/>
  <c r="B64" i="3"/>
  <c r="A64" i="3"/>
  <c r="G63" i="3"/>
  <c r="F63" i="3"/>
  <c r="E63" i="3"/>
  <c r="D63" i="3"/>
  <c r="C63" i="3"/>
  <c r="B63" i="3"/>
  <c r="A63" i="3"/>
  <c r="G62" i="3"/>
  <c r="F62" i="3"/>
  <c r="E62" i="3"/>
  <c r="D62" i="3"/>
  <c r="C62" i="3"/>
  <c r="B62" i="3"/>
  <c r="A62" i="3"/>
  <c r="G61" i="3"/>
  <c r="F61" i="3"/>
  <c r="E61" i="3"/>
  <c r="D61" i="3"/>
  <c r="C61" i="3"/>
  <c r="B61" i="3"/>
  <c r="A61" i="3"/>
  <c r="G60" i="3"/>
  <c r="F60" i="3"/>
  <c r="E60" i="3"/>
  <c r="D60" i="3"/>
  <c r="C60" i="3"/>
  <c r="B60" i="3"/>
  <c r="A60" i="3"/>
  <c r="G59" i="3"/>
  <c r="F59" i="3"/>
  <c r="E59" i="3"/>
  <c r="D59" i="3"/>
  <c r="C59" i="3"/>
  <c r="B59" i="3"/>
  <c r="A59" i="3"/>
  <c r="G58" i="3"/>
  <c r="F58" i="3"/>
  <c r="E58" i="3"/>
  <c r="D58" i="3"/>
  <c r="C58" i="3"/>
  <c r="B58" i="3"/>
  <c r="A58" i="3"/>
  <c r="G57" i="3"/>
  <c r="F57" i="3"/>
  <c r="E57" i="3"/>
  <c r="D57" i="3"/>
  <c r="C57" i="3"/>
  <c r="B57" i="3"/>
  <c r="A57" i="3"/>
  <c r="G56" i="3"/>
  <c r="F56" i="3"/>
  <c r="E56" i="3"/>
  <c r="D56" i="3"/>
  <c r="C56" i="3"/>
  <c r="B56" i="3"/>
  <c r="A56" i="3"/>
  <c r="G55" i="3"/>
  <c r="F55" i="3"/>
  <c r="E55" i="3"/>
  <c r="D55" i="3"/>
  <c r="C55" i="3"/>
  <c r="B55" i="3"/>
  <c r="A55" i="3"/>
  <c r="G54" i="3"/>
  <c r="F54" i="3"/>
  <c r="E54" i="3"/>
  <c r="D54" i="3"/>
  <c r="C54" i="3"/>
  <c r="B54" i="3"/>
  <c r="A54" i="3"/>
  <c r="G53" i="3"/>
  <c r="F53" i="3"/>
  <c r="E53" i="3"/>
  <c r="D53" i="3"/>
  <c r="C53" i="3"/>
  <c r="B53" i="3"/>
  <c r="A53" i="3"/>
  <c r="G52" i="3"/>
  <c r="F52" i="3"/>
  <c r="E52" i="3"/>
  <c r="D52" i="3"/>
  <c r="C52" i="3"/>
  <c r="B52" i="3"/>
  <c r="A52" i="3"/>
  <c r="G51" i="3"/>
  <c r="F51" i="3"/>
  <c r="E51" i="3"/>
  <c r="D51" i="3"/>
  <c r="C51" i="3"/>
  <c r="B51" i="3"/>
  <c r="A51" i="3"/>
  <c r="G50" i="3"/>
  <c r="F50" i="3"/>
  <c r="E50" i="3"/>
  <c r="D50" i="3"/>
  <c r="C50" i="3"/>
  <c r="B50" i="3"/>
  <c r="A50" i="3"/>
  <c r="G49" i="3"/>
  <c r="F49" i="3"/>
  <c r="E49" i="3"/>
  <c r="D49" i="3"/>
  <c r="C49" i="3"/>
  <c r="B49" i="3"/>
  <c r="A49" i="3"/>
  <c r="G48" i="3"/>
  <c r="F48" i="3"/>
  <c r="E48" i="3"/>
  <c r="D48" i="3"/>
  <c r="C48" i="3"/>
  <c r="B48" i="3"/>
  <c r="A48" i="3"/>
  <c r="G47" i="3"/>
  <c r="F47" i="3"/>
  <c r="E47" i="3"/>
  <c r="D47" i="3"/>
  <c r="C47" i="3"/>
  <c r="B47" i="3"/>
  <c r="A47" i="3"/>
  <c r="G46" i="3"/>
  <c r="F46" i="3"/>
  <c r="E46" i="3"/>
  <c r="D46" i="3"/>
  <c r="C46" i="3"/>
  <c r="B46" i="3"/>
  <c r="A46" i="3"/>
  <c r="G45" i="3"/>
  <c r="F45" i="3"/>
  <c r="E45" i="3"/>
  <c r="D45" i="3"/>
  <c r="C45" i="3"/>
  <c r="B45" i="3"/>
  <c r="A45" i="3"/>
  <c r="G44" i="3"/>
  <c r="F44" i="3"/>
  <c r="E44" i="3"/>
  <c r="D44" i="3"/>
  <c r="C44" i="3"/>
  <c r="B44" i="3"/>
  <c r="A44" i="3"/>
  <c r="G43" i="3"/>
  <c r="F43" i="3"/>
  <c r="E43" i="3"/>
  <c r="D43" i="3"/>
  <c r="C43" i="3"/>
  <c r="B43" i="3"/>
  <c r="A43" i="3"/>
  <c r="G42" i="3"/>
  <c r="F42" i="3"/>
  <c r="E42" i="3"/>
  <c r="D42" i="3"/>
  <c r="C42" i="3"/>
  <c r="B42" i="3"/>
  <c r="A42" i="3"/>
  <c r="G41" i="3"/>
  <c r="F41" i="3"/>
  <c r="E41" i="3"/>
  <c r="D41" i="3"/>
  <c r="C41" i="3"/>
  <c r="B41" i="3"/>
  <c r="A41" i="3"/>
  <c r="G40" i="3"/>
  <c r="F40" i="3"/>
  <c r="E40" i="3"/>
  <c r="D40" i="3"/>
  <c r="C40" i="3"/>
  <c r="B40" i="3"/>
  <c r="A40" i="3"/>
  <c r="G39" i="3"/>
  <c r="F39" i="3"/>
  <c r="E39" i="3"/>
  <c r="D39" i="3"/>
  <c r="C39" i="3"/>
  <c r="B39" i="3"/>
  <c r="A39" i="3"/>
  <c r="G38" i="3"/>
  <c r="F38" i="3"/>
  <c r="E38" i="3"/>
  <c r="D38" i="3"/>
  <c r="C38" i="3"/>
  <c r="B38" i="3"/>
  <c r="A38" i="3"/>
  <c r="G37" i="3"/>
  <c r="F37" i="3"/>
  <c r="E37" i="3"/>
  <c r="D37" i="3"/>
  <c r="C37" i="3"/>
  <c r="B37" i="3"/>
  <c r="A37" i="3"/>
  <c r="G36" i="3"/>
  <c r="F36" i="3"/>
  <c r="E36" i="3"/>
  <c r="D36" i="3"/>
  <c r="C36" i="3"/>
  <c r="B36" i="3"/>
  <c r="A36" i="3"/>
  <c r="G35" i="3"/>
  <c r="F35" i="3"/>
  <c r="E35" i="3"/>
  <c r="D35" i="3"/>
  <c r="C35" i="3"/>
  <c r="B35" i="3"/>
  <c r="A35" i="3"/>
  <c r="G34" i="3"/>
  <c r="F34" i="3"/>
  <c r="E34" i="3"/>
  <c r="D34" i="3"/>
  <c r="C34" i="3"/>
  <c r="B34" i="3"/>
  <c r="A34" i="3"/>
  <c r="G33" i="3"/>
  <c r="F33" i="3"/>
  <c r="E33" i="3"/>
  <c r="D33" i="3"/>
  <c r="C33" i="3"/>
  <c r="B33" i="3"/>
  <c r="A33" i="3"/>
  <c r="G32" i="3"/>
  <c r="F32" i="3"/>
  <c r="E32" i="3"/>
  <c r="D32" i="3"/>
  <c r="C32" i="3"/>
  <c r="B32" i="3"/>
  <c r="A32" i="3"/>
  <c r="G31" i="3"/>
  <c r="F31" i="3"/>
  <c r="E31" i="3"/>
  <c r="D31" i="3"/>
  <c r="C31" i="3"/>
  <c r="B31" i="3"/>
  <c r="A31" i="3"/>
  <c r="G30" i="3"/>
  <c r="F30" i="3"/>
  <c r="E30" i="3"/>
  <c r="D30" i="3"/>
  <c r="C30" i="3"/>
  <c r="B30" i="3"/>
  <c r="A30" i="3"/>
  <c r="G29" i="3"/>
  <c r="F29" i="3"/>
  <c r="E29" i="3"/>
  <c r="D29" i="3"/>
  <c r="C29" i="3"/>
  <c r="B29" i="3"/>
  <c r="A29" i="3"/>
  <c r="G28" i="3"/>
  <c r="F28" i="3"/>
  <c r="E28" i="3"/>
  <c r="D28" i="3"/>
  <c r="C28" i="3"/>
  <c r="B28" i="3"/>
  <c r="A28" i="3"/>
  <c r="G27" i="3"/>
  <c r="F27" i="3"/>
  <c r="E27" i="3"/>
  <c r="D27" i="3"/>
  <c r="C27" i="3"/>
  <c r="B27" i="3"/>
  <c r="A27" i="3"/>
  <c r="G26" i="3"/>
  <c r="F26" i="3"/>
  <c r="E26" i="3"/>
  <c r="D26" i="3"/>
  <c r="C26" i="3"/>
  <c r="B26" i="3"/>
  <c r="A26" i="3"/>
  <c r="G25" i="3"/>
  <c r="F25" i="3"/>
  <c r="E25" i="3"/>
  <c r="D25" i="3"/>
  <c r="C25" i="3"/>
  <c r="B25" i="3"/>
  <c r="A25" i="3"/>
  <c r="G24" i="3"/>
  <c r="F24" i="3"/>
  <c r="E24" i="3"/>
  <c r="D24" i="3"/>
  <c r="C24" i="3"/>
  <c r="B24" i="3"/>
  <c r="A24" i="3"/>
  <c r="G23" i="3"/>
  <c r="F23" i="3"/>
  <c r="E23" i="3"/>
  <c r="D23" i="3"/>
  <c r="C23" i="3"/>
  <c r="B23" i="3"/>
  <c r="A23" i="3"/>
  <c r="G22" i="3"/>
  <c r="F22" i="3"/>
  <c r="E22" i="3"/>
  <c r="D22" i="3"/>
  <c r="C22" i="3"/>
  <c r="B22" i="3"/>
  <c r="A22" i="3"/>
  <c r="G21" i="3"/>
  <c r="F21" i="3"/>
  <c r="E21" i="3"/>
  <c r="D21" i="3"/>
  <c r="C21" i="3"/>
  <c r="B21" i="3"/>
  <c r="A21" i="3"/>
  <c r="G20" i="3"/>
  <c r="F20" i="3"/>
  <c r="E20" i="3"/>
  <c r="D20" i="3"/>
  <c r="C20" i="3"/>
  <c r="B20" i="3"/>
  <c r="A20" i="3"/>
  <c r="G19" i="3"/>
  <c r="F19" i="3"/>
  <c r="E19" i="3"/>
  <c r="D19" i="3"/>
  <c r="C19" i="3"/>
  <c r="B19" i="3"/>
  <c r="A19" i="3"/>
  <c r="G18" i="3"/>
  <c r="F18" i="3"/>
  <c r="E18" i="3"/>
  <c r="D18" i="3"/>
  <c r="C18" i="3"/>
  <c r="B18" i="3"/>
  <c r="A18" i="3"/>
  <c r="G17" i="3"/>
  <c r="F17" i="3"/>
  <c r="E17" i="3"/>
  <c r="D17" i="3"/>
  <c r="C17" i="3"/>
  <c r="B17" i="3"/>
  <c r="A17" i="3"/>
  <c r="G16" i="3"/>
  <c r="F16" i="3"/>
  <c r="E16" i="3"/>
  <c r="D16" i="3"/>
  <c r="C16" i="3"/>
  <c r="B16" i="3"/>
  <c r="A16" i="3"/>
  <c r="G15" i="3"/>
  <c r="F15" i="3"/>
  <c r="E15" i="3"/>
  <c r="D15" i="3"/>
  <c r="C15" i="3"/>
  <c r="B15" i="3"/>
  <c r="A15" i="3"/>
  <c r="G14" i="3"/>
  <c r="F14" i="3"/>
  <c r="E14" i="3"/>
  <c r="D14" i="3"/>
  <c r="C14" i="3"/>
  <c r="B14" i="3"/>
  <c r="A14" i="3"/>
  <c r="G13" i="3"/>
  <c r="F13" i="3"/>
  <c r="E13" i="3"/>
  <c r="D13" i="3"/>
  <c r="C13" i="3"/>
  <c r="B13" i="3"/>
  <c r="A13" i="3"/>
  <c r="G12" i="3"/>
  <c r="F12" i="3"/>
  <c r="E12" i="3"/>
  <c r="D12" i="3"/>
  <c r="C12" i="3"/>
  <c r="B12" i="3"/>
  <c r="A12" i="3"/>
  <c r="G11" i="3"/>
  <c r="F11" i="3"/>
  <c r="E11" i="3"/>
  <c r="D11" i="3"/>
  <c r="C11" i="3"/>
  <c r="B11" i="3"/>
  <c r="A11" i="3"/>
  <c r="G10" i="3"/>
  <c r="F10" i="3"/>
  <c r="E10" i="3"/>
  <c r="D10" i="3"/>
  <c r="C10" i="3"/>
  <c r="B10" i="3"/>
  <c r="A10" i="3"/>
  <c r="G9" i="3"/>
  <c r="F9" i="3"/>
  <c r="E9" i="3"/>
  <c r="D9" i="3"/>
  <c r="C9" i="3"/>
  <c r="B9" i="3"/>
  <c r="A9" i="3"/>
  <c r="G8" i="3"/>
  <c r="F8" i="3"/>
  <c r="E8" i="3"/>
  <c r="D8" i="3"/>
  <c r="C8" i="3"/>
  <c r="B8" i="3"/>
  <c r="A8" i="3"/>
  <c r="G7" i="3"/>
  <c r="F7" i="3"/>
  <c r="E7" i="3"/>
  <c r="D7" i="3"/>
  <c r="C7" i="3"/>
  <c r="B7" i="3"/>
  <c r="A7" i="3"/>
  <c r="G6" i="3"/>
  <c r="F6" i="3"/>
  <c r="E6" i="3"/>
  <c r="D6" i="3"/>
  <c r="C6" i="3"/>
  <c r="B6" i="3"/>
  <c r="A6" i="3"/>
  <c r="G5" i="3"/>
  <c r="F5" i="3"/>
  <c r="E5" i="3"/>
  <c r="D5" i="3"/>
  <c r="C5" i="3"/>
  <c r="B5" i="3"/>
  <c r="A5" i="3"/>
  <c r="G4" i="3"/>
  <c r="F4" i="3"/>
  <c r="E4" i="3"/>
  <c r="D4" i="3"/>
  <c r="C4" i="3"/>
  <c r="B4" i="3"/>
  <c r="A4" i="3"/>
  <c r="G3" i="3"/>
  <c r="F3" i="3"/>
  <c r="E3" i="3"/>
  <c r="D3" i="3"/>
  <c r="C3" i="3"/>
  <c r="B3" i="3"/>
  <c r="A3" i="3"/>
  <c r="G2" i="3"/>
  <c r="F2" i="3"/>
  <c r="E2" i="3"/>
  <c r="D2" i="3"/>
  <c r="C2" i="3"/>
  <c r="B2" i="3"/>
  <c r="A2" i="3"/>
  <c r="C1" i="3"/>
  <c r="B1" i="3"/>
  <c r="B40" i="2"/>
  <c r="B39" i="2"/>
  <c r="B38" i="2"/>
  <c r="B37" i="2"/>
  <c r="B36" i="2"/>
  <c r="B35" i="2"/>
  <c r="B34" i="2"/>
  <c r="B33" i="2"/>
  <c r="B32" i="2"/>
  <c r="B31" i="2"/>
  <c r="D30" i="2"/>
  <c r="C30" i="2"/>
  <c r="B30" i="2"/>
  <c r="J29" i="2"/>
  <c r="D29" i="2"/>
  <c r="C29" i="2"/>
  <c r="B29" i="2"/>
  <c r="J28" i="2"/>
  <c r="D28" i="2"/>
  <c r="C28" i="2"/>
  <c r="B28" i="2"/>
  <c r="J27" i="2"/>
  <c r="D27" i="2"/>
  <c r="C27" i="2"/>
  <c r="B27" i="2"/>
  <c r="J26" i="2"/>
  <c r="D26" i="2"/>
  <c r="C26" i="2"/>
  <c r="B26" i="2"/>
  <c r="J25" i="2"/>
  <c r="E25" i="2"/>
  <c r="D25" i="2"/>
  <c r="C25" i="2"/>
  <c r="B25" i="2"/>
  <c r="J24" i="2"/>
  <c r="E24" i="2"/>
  <c r="D24" i="2"/>
  <c r="C24" i="2"/>
  <c r="B24" i="2"/>
  <c r="J23" i="2"/>
  <c r="E23" i="2"/>
  <c r="D23" i="2"/>
  <c r="C23" i="2"/>
  <c r="B23" i="2"/>
  <c r="J22" i="2"/>
  <c r="E22" i="2"/>
  <c r="D22" i="2"/>
  <c r="C22" i="2"/>
  <c r="B22" i="2"/>
  <c r="J21" i="2"/>
  <c r="E21" i="2"/>
  <c r="D21" i="2"/>
  <c r="C21" i="2"/>
  <c r="B21" i="2"/>
  <c r="J20" i="2"/>
  <c r="E20" i="2"/>
  <c r="D20" i="2"/>
  <c r="C20" i="2"/>
  <c r="B20" i="2"/>
  <c r="J19" i="2"/>
  <c r="E19" i="2"/>
  <c r="D19" i="2"/>
  <c r="C19" i="2"/>
  <c r="B19" i="2"/>
  <c r="J18" i="2"/>
  <c r="E18" i="2"/>
  <c r="D18" i="2"/>
  <c r="C18" i="2"/>
  <c r="B18" i="2"/>
  <c r="M17" i="2"/>
  <c r="J17" i="2"/>
  <c r="E17" i="2"/>
  <c r="D17" i="2"/>
  <c r="C17" i="2"/>
  <c r="B17" i="2"/>
  <c r="M16" i="2"/>
  <c r="J16" i="2"/>
  <c r="E16" i="2"/>
  <c r="D16" i="2"/>
  <c r="C16" i="2"/>
  <c r="B16" i="2"/>
  <c r="M15" i="2"/>
  <c r="J15" i="2"/>
  <c r="E15" i="2"/>
  <c r="D15" i="2"/>
  <c r="C15" i="2"/>
  <c r="B15" i="2"/>
  <c r="M14" i="2"/>
  <c r="J14" i="2"/>
  <c r="E14" i="2"/>
  <c r="D14" i="2"/>
  <c r="C14" i="2"/>
  <c r="B14" i="2"/>
  <c r="AA13" i="2"/>
  <c r="M13" i="2"/>
  <c r="J13" i="2"/>
  <c r="E13" i="2"/>
  <c r="D13" i="2"/>
  <c r="C13" i="2"/>
  <c r="B13" i="2"/>
  <c r="AA12" i="2"/>
  <c r="Z12" i="2"/>
  <c r="T12" i="2"/>
  <c r="M12" i="2"/>
  <c r="J12" i="2"/>
  <c r="E12" i="2"/>
  <c r="D12" i="2"/>
  <c r="C12" i="2"/>
  <c r="B12" i="2"/>
  <c r="AA11" i="2"/>
  <c r="Z11" i="2"/>
  <c r="T11" i="2"/>
  <c r="M11" i="2"/>
  <c r="J11" i="2"/>
  <c r="E11" i="2"/>
  <c r="D11" i="2"/>
  <c r="C11" i="2"/>
  <c r="AA10" i="2"/>
  <c r="Z10" i="2"/>
  <c r="T10" i="2"/>
  <c r="M10" i="2"/>
  <c r="J10" i="2"/>
  <c r="E10" i="2"/>
  <c r="D10" i="2"/>
  <c r="C10" i="2"/>
  <c r="B10" i="2"/>
  <c r="AA9" i="2"/>
  <c r="Z9" i="2"/>
  <c r="T9" i="2"/>
  <c r="M9" i="2"/>
  <c r="J9" i="2"/>
  <c r="E9" i="2"/>
  <c r="D9" i="2"/>
  <c r="C9" i="2"/>
  <c r="B9" i="2"/>
  <c r="AB8" i="2"/>
  <c r="AA8" i="2"/>
  <c r="Z8" i="2"/>
  <c r="T8" i="2"/>
  <c r="S8" i="2"/>
  <c r="M8" i="2"/>
  <c r="J8" i="2"/>
  <c r="E8" i="2"/>
  <c r="D8" i="2"/>
  <c r="C8" i="2"/>
  <c r="B8" i="2"/>
  <c r="AB7" i="2"/>
  <c r="AA7" i="2"/>
  <c r="Z7" i="2"/>
  <c r="V7" i="2"/>
  <c r="T7" i="2"/>
  <c r="S7" i="2"/>
  <c r="R7" i="2"/>
  <c r="P7" i="2"/>
  <c r="M7" i="2"/>
  <c r="J7" i="2"/>
  <c r="E7" i="2"/>
  <c r="D7" i="2"/>
  <c r="C7" i="2"/>
  <c r="B7" i="2"/>
  <c r="AB6" i="2"/>
  <c r="AA6" i="2"/>
  <c r="Z6" i="2"/>
  <c r="W6" i="2"/>
  <c r="V6" i="2"/>
  <c r="T6" i="2"/>
  <c r="S6" i="2"/>
  <c r="R6" i="2"/>
  <c r="P6" i="2"/>
  <c r="M6" i="2"/>
  <c r="J6" i="2"/>
  <c r="E6" i="2"/>
  <c r="D6" i="2"/>
  <c r="C6" i="2"/>
  <c r="B6" i="2"/>
  <c r="AD5" i="2"/>
  <c r="AB5" i="2"/>
  <c r="AA5" i="2"/>
  <c r="Z5" i="2"/>
  <c r="W5" i="2"/>
  <c r="V5" i="2"/>
  <c r="T5" i="2"/>
  <c r="S5" i="2"/>
  <c r="R5" i="2"/>
  <c r="P5" i="2"/>
  <c r="M5" i="2"/>
  <c r="J5" i="2"/>
  <c r="H5" i="2"/>
  <c r="E5" i="2"/>
  <c r="D5" i="2"/>
  <c r="C5" i="2"/>
  <c r="B5" i="2"/>
  <c r="AD4" i="2"/>
  <c r="AB4" i="2"/>
  <c r="AA4" i="2"/>
  <c r="Z4" i="2"/>
  <c r="W4" i="2"/>
  <c r="V4" i="2"/>
  <c r="T4" i="2"/>
  <c r="S4" i="2"/>
  <c r="R4" i="2"/>
  <c r="P4" i="2"/>
  <c r="M4" i="2"/>
  <c r="L4" i="2"/>
  <c r="H4" i="2"/>
  <c r="E4" i="2"/>
  <c r="D4" i="2"/>
  <c r="C4" i="2"/>
  <c r="B4" i="2"/>
  <c r="AD3" i="2"/>
  <c r="AB3" i="2"/>
  <c r="AA3" i="2"/>
  <c r="Z3" i="2"/>
  <c r="W3" i="2"/>
  <c r="V3" i="2"/>
  <c r="U3" i="2"/>
  <c r="T3" i="2"/>
  <c r="S3" i="2"/>
  <c r="R3" i="2"/>
  <c r="Q3" i="2"/>
  <c r="P3" i="2"/>
  <c r="O3" i="2"/>
  <c r="N3" i="2"/>
  <c r="M3" i="2"/>
  <c r="L3" i="2"/>
  <c r="J3" i="2"/>
  <c r="I3" i="2"/>
  <c r="H3" i="2"/>
  <c r="G3" i="2"/>
  <c r="E3" i="2"/>
  <c r="D3" i="2"/>
  <c r="C3" i="2"/>
  <c r="B3" i="2"/>
  <c r="J2" i="2"/>
  <c r="D2" i="2"/>
  <c r="C2" i="2"/>
  <c r="B2"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sharedStrings.xml><?xml version="1.0" encoding="utf-8"?>
<sst xmlns="http://schemas.openxmlformats.org/spreadsheetml/2006/main" count="948" uniqueCount="406">
  <si>
    <t>Value</t>
  </si>
  <si>
    <t>Device</t>
  </si>
  <si>
    <t>Footprint Name</t>
  </si>
  <si>
    <t>Detailed Description</t>
  </si>
  <si>
    <t>ARROW_PART_NUMBER</t>
  </si>
  <si>
    <t>ARROW_PRICE-STOCK</t>
  </si>
  <si>
    <t>AVAILABILITY</t>
  </si>
  <si>
    <t>CENTROID_NOT_SPECIFIED</t>
  </si>
  <si>
    <t>CHECK_PRICES</t>
  </si>
  <si>
    <t>COPYRIGHT</t>
  </si>
  <si>
    <t>DATASHEET</t>
  </si>
  <si>
    <t>DESCRIPTION</t>
  </si>
  <si>
    <t>DIGIKEY_DESCRIPTION</t>
  </si>
  <si>
    <t>DIGIKEY_PART_NUMBER</t>
  </si>
  <si>
    <t>HEIGHT</t>
  </si>
  <si>
    <t>LEAD_FREE</t>
  </si>
  <si>
    <t>MANUFACTURER_NAME</t>
  </si>
  <si>
    <t>MANUFACTURER_PART_NUMBER</t>
  </si>
  <si>
    <t>MF</t>
  </si>
  <si>
    <t>MFR_NAME</t>
  </si>
  <si>
    <t>MOUSER_PART_NUMBER</t>
  </si>
  <si>
    <t>MOUSER_PRICE-STOCK</t>
  </si>
  <si>
    <t>MOUSER_TESTING_PART_NUMBER</t>
  </si>
  <si>
    <t>MOUSER_TESTING_PRICE-STOCK</t>
  </si>
  <si>
    <t>MP</t>
  </si>
  <si>
    <t>MPN</t>
  </si>
  <si>
    <t>PACKAGE</t>
  </si>
  <si>
    <t>PARTNAME</t>
  </si>
  <si>
    <t>POPULARITY</t>
  </si>
  <si>
    <t>PREFIX</t>
  </si>
  <si>
    <t>PRICE</t>
  </si>
  <si>
    <t>PROD_ID</t>
  </si>
  <si>
    <t>PURCHASE-URL</t>
  </si>
  <si>
    <t>ROHS</t>
  </si>
  <si>
    <t>SNAPEDA_LINK</t>
  </si>
  <si>
    <t>SPICEMODEL</t>
  </si>
  <si>
    <t>SPICEPREFIX</t>
  </si>
  <si>
    <t>TEMPERATURE_RANGE_HIGH</t>
  </si>
  <si>
    <t>TEMPERATURE_RANGE_LOW</t>
  </si>
  <si>
    <t>TP_SIGNAL_NAME</t>
  </si>
  <si>
    <t>VALUE</t>
  </si>
  <si>
    <t>BOOT_BUTTON</t>
  </si>
  <si>
    <t>BUTTON_CUSYOMV1</t>
  </si>
  <si>
    <t>MYBUTTON</t>
  </si>
  <si>
    <t>https://industry.panasonic.com/global/en/products/control/switch/light-touch/number/evqpuj02k</t>
  </si>
  <si>
    <t>C1</t>
  </si>
  <si>
    <t>100nF</t>
  </si>
  <si>
    <t>ESP32_WROVER_EAGLE-LTSPICE_CC0402</t>
  </si>
  <si>
    <t>ESP32_WROVER_EAGLE-LTSPICE_C0402</t>
  </si>
  <si>
    <t>CAPACITOR, European symbol</t>
  </si>
  <si>
    <t>https://componentsearchengine.com/part-view/CC0402MRX5R5BB106/YAGEO</t>
  </si>
  <si>
    <t>NONE</t>
  </si>
  <si>
    <t>C</t>
  </si>
  <si>
    <t>C1_BAT</t>
  </si>
  <si>
    <t>4.7uF</t>
  </si>
  <si>
    <t>C1_BAT1</t>
  </si>
  <si>
    <t>EAGLE-LTSPICE_CC0402</t>
  </si>
  <si>
    <t>EAGLE-LTSPICE_C0402</t>
  </si>
  <si>
    <t>C1_BAT2</t>
  </si>
  <si>
    <t>C2</t>
  </si>
  <si>
    <t>C2_BAT\</t>
  </si>
  <si>
    <t>C3</t>
  </si>
  <si>
    <t>100uF TANT</t>
  </si>
  <si>
    <t>RCL_CPOL-EUCT3528</t>
  </si>
  <si>
    <t>RCL_CT3528</t>
  </si>
  <si>
    <t>POLARIZED CAPACITOR, European symbol</t>
  </si>
  <si>
    <t>C4</t>
  </si>
  <si>
    <t>4.7uF/25V</t>
  </si>
  <si>
    <t>C4_USB</t>
  </si>
  <si>
    <t>C5</t>
  </si>
  <si>
    <t>1uF</t>
  </si>
  <si>
    <t>C5_USB</t>
  </si>
  <si>
    <t>4.7湩</t>
  </si>
  <si>
    <t>C6</t>
  </si>
  <si>
    <t>C7</t>
  </si>
  <si>
    <t>10uF</t>
  </si>
  <si>
    <t>C8</t>
  </si>
  <si>
    <t>C9</t>
  </si>
  <si>
    <t>C10</t>
  </si>
  <si>
    <t>C10_SUPERCAP</t>
  </si>
  <si>
    <t>CPH3225A</t>
  </si>
  <si>
    <t>CAPCP3225X100N</t>
  </si>
  <si>
    <t>Cap 0.011F 3.3V 1210 Flat Check availability</t>
  </si>
  <si>
    <t>Not in stock</t>
  </si>
  <si>
    <t>https://www.snapeda.com/parts/CPH3225A/Seiko+Instruments/view-part/?ref=eda</t>
  </si>
  <si>
    <t xml:space="preserve"> 11 mF (EDLC) Supercapacitor 3.3 V 1210 (3225 Metric) - - </t>
  </si>
  <si>
    <t>Seiko Instruments</t>
  </si>
  <si>
    <t>1210 Seiko</t>
  </si>
  <si>
    <t>None</t>
  </si>
  <si>
    <t>https://www.snapeda.com/api/url_track_click_mouser/?unipart_id=562593&amp;manufacturer=Seiko Instruments&amp;part_name=CPH3225A&amp;search_term=None</t>
  </si>
  <si>
    <t>https://www.snapeda.com/parts/CPH3225A/Seiko+Instruments/view-part/?ref=snap</t>
  </si>
  <si>
    <t>CHANGE_BUTTON</t>
  </si>
  <si>
    <t>CHG_LED</t>
  </si>
  <si>
    <t>ADAFRUIT_LEDCHIP-LED0603</t>
  </si>
  <si>
    <t>ADAFRUIT_CHIP-LED0603</t>
  </si>
  <si>
    <t>LED</t>
  </si>
  <si>
    <t>C_DELAY</t>
  </si>
  <si>
    <t>D1</t>
  </si>
  <si>
    <t>USBLC6-2SC6Y</t>
  </si>
  <si>
    <t>SOT95P280X145-6N</t>
  </si>
  <si>
    <t>Low Cap. ESD Protection Auto SOT-23-6 STMicroelectronics USBLC6-2SC6Y, Dual Uni-Directional TVS Diode Array, 6-Pin SOT-23</t>
  </si>
  <si>
    <t>In Stock</t>
  </si>
  <si>
    <t>https://www.snapeda.com/parts/USBLC6-2SC6Y/STMicroelectronics/view-part/?ref=eda</t>
  </si>
  <si>
    <t xml:space="preserve"> 17V Clamp 5A (8/20盜) Ipp Tvs Diode Surface Mount SOT-23-6 </t>
  </si>
  <si>
    <t>STMicroelectronics</t>
  </si>
  <si>
    <t>SOT-23-6 STMicroelectronics</t>
  </si>
  <si>
    <t>https://www.snapeda.com/parts/USBLC6-2SC6Y/STMicroelectronics/view-part/?ref=snap</t>
  </si>
  <si>
    <t>D2</t>
  </si>
  <si>
    <t>ESP32_WROVER_AVX---SD0805S020S1R0_AVX_SD0805S020S1R0_0_0AVX_SD0805S020S1R0_0_0</t>
  </si>
  <si>
    <t>ESP32_WROVER_AVX---SD0805S020S1R0_AVX_SD0805S020S1R0_0</t>
  </si>
  <si>
    <t>Schottky Barrier Rectifier Diode</t>
  </si>
  <si>
    <t>No</t>
  </si>
  <si>
    <t>https://eu.mouser.com/ProductDetail/KYOCERA-AVX/SD0805S020S1R0?qs=jCA%252BPfw4LHbpkAoSnwrdjw%3D%3D</t>
  </si>
  <si>
    <t>http://datasheets.avx.com/schottky.pdf</t>
  </si>
  <si>
    <t>DIODE SCHOTTKY 20V 1A 0805</t>
  </si>
  <si>
    <t>478-7800-1-ND</t>
  </si>
  <si>
    <t>yes</t>
  </si>
  <si>
    <t>AVX</t>
  </si>
  <si>
    <t>581-SD0805S020S1R0</t>
  </si>
  <si>
    <t>0805 (2012 metric)</t>
  </si>
  <si>
    <t>D</t>
  </si>
  <si>
    <t>+125蚓</t>
  </si>
  <si>
    <t>-55蚓</t>
  </si>
  <si>
    <t>D3</t>
  </si>
  <si>
    <t>MBR0530</t>
  </si>
  <si>
    <t>SOD3716X135N</t>
  </si>
  <si>
    <t>ON SEMICONDUCTOR - MBR0530 - DIODE, SCHOTTKY, 0.5A, 30V, SOD-123</t>
  </si>
  <si>
    <t xml:space="preserve"> Diode Schottky 30 V 500mA Surface Mount SOD-123 </t>
  </si>
  <si>
    <t>ON Semiconductor</t>
  </si>
  <si>
    <t>SOD-123-2 ON Semiconductor</t>
  </si>
  <si>
    <t>https://www.snapeda.com/api/url_track_click_mouser/?unipart_id=179458&amp;manufacturer=ON Semiconductor&amp;part_name=MBR0530&amp;search_term=None</t>
  </si>
  <si>
    <t>https://www.snapeda.com/parts/MBR0530/Onsemi/view-part/?ref=snap</t>
  </si>
  <si>
    <t>D4</t>
  </si>
  <si>
    <t>https://www.snapeda.com/parts/MBR0530/Onsemi/view-part/?ref=eda</t>
  </si>
  <si>
    <t>D5</t>
  </si>
  <si>
    <t>D6</t>
  </si>
  <si>
    <t>PGB1010603MR</t>
  </si>
  <si>
    <t>DIOC1608X36N</t>
  </si>
  <si>
    <t>Check availability</t>
  </si>
  <si>
    <t>https://www.snapeda.com/parts/PGB1010603MR/Littelfuse/view-part/?ref=eda</t>
  </si>
  <si>
    <t xml:space="preserve"> 150V (Typ) Clamp - Ipp Tvs Diode Surface Mount 0603 (1608 Metric) </t>
  </si>
  <si>
    <t>Littelfuse Inc.</t>
  </si>
  <si>
    <t>0603 Littelfuse Inc.</t>
  </si>
  <si>
    <t>https://www.snapeda.com/api/url_track_click_mouser/?unipart_id=5659453&amp;manufacturer=Littelfuse Inc.&amp;part_name=PGB1010603MR&amp;search_term=None</t>
  </si>
  <si>
    <t>https://www.snapeda.com/parts/PGB1010603MR/Littelfuse/view-part/?ref=snap</t>
  </si>
  <si>
    <t>D7</t>
  </si>
  <si>
    <t>D8</t>
  </si>
  <si>
    <t>D9</t>
  </si>
  <si>
    <t>D10</t>
  </si>
  <si>
    <t>D11</t>
  </si>
  <si>
    <t>D12</t>
  </si>
  <si>
    <t>EPD_C1</t>
  </si>
  <si>
    <t>1uF/50V</t>
  </si>
  <si>
    <t>EPD_C2</t>
  </si>
  <si>
    <t>EPD_C5</t>
  </si>
  <si>
    <t>EPD_C6</t>
  </si>
  <si>
    <t>EPD_C7</t>
  </si>
  <si>
    <t>EPD_C8</t>
  </si>
  <si>
    <t>EPD_C9</t>
  </si>
  <si>
    <t>EPD_C10</t>
  </si>
  <si>
    <t>EPD_C11</t>
  </si>
  <si>
    <t>EPD_C12</t>
  </si>
  <si>
    <t>IC1</t>
  </si>
  <si>
    <t>BD5229G-TR</t>
  </si>
  <si>
    <t>SOT95P280X125-5N</t>
  </si>
  <si>
    <t>Voltage Detector with Adjustable Delay Time: CMOS processes are utilized to develop high precision, low current consumption CMOS reset ICs that allow arbitrary setting of the delay time. The extensive lineup includes both Nch Open Drain and CMOS output types in a wide range of detection voltages (from 2.3V to 6.0V, in 0.1V steps), enabling selection of the ideal solution based on customer requirements. In addition, the entire series is of course both lead-free and RoHS-compliant.</t>
  </si>
  <si>
    <t>https://componentsearchengine.com/part-view/BD5229G-TR/ROHM%20Semiconductor</t>
  </si>
  <si>
    <t>1.25mm</t>
  </si>
  <si>
    <t>ROHM Semiconductor</t>
  </si>
  <si>
    <t>755-BD5229G-TR</t>
  </si>
  <si>
    <t>https://www.mouser.co.uk/ProductDetail/ROHM-Semiconductor/BD5229G-TR?qs=4kLU8WoGk0vvnhrrYwdszw%3D%3D</t>
  </si>
  <si>
    <t>IC4</t>
  </si>
  <si>
    <t>XC6220A331MR-G</t>
  </si>
  <si>
    <t>SOT95P280X120-5N</t>
  </si>
  <si>
    <t>LDO Voltage Regulators</t>
  </si>
  <si>
    <t>https://componentsearchengine.com/part-view/XC6220A331MR-G/Torex</t>
  </si>
  <si>
    <t>1.2mm</t>
  </si>
  <si>
    <t>Torex</t>
  </si>
  <si>
    <t>865-XC6220A331MR-G</t>
  </si>
  <si>
    <t>https://www.mouser.co.uk/ProductDetail/Torex-Semiconductor/XC6220A331MR-G?qs=AsjdqWjXhJ8ZSWznL1J0gg%3D%3D</t>
  </si>
  <si>
    <t>J1</t>
  </si>
  <si>
    <t>FH34SRJ-24S-0.5SH_99_</t>
  </si>
  <si>
    <t>FH34SRJ24S05SH99</t>
  </si>
  <si>
    <t>24 Position FFC, FPC Connector Contacts, Top and Bottom 0.020 (0.50mm) Surface Mount, Right Angle"</t>
  </si>
  <si>
    <t>1.1mm</t>
  </si>
  <si>
    <t>Hirose</t>
  </si>
  <si>
    <t>FH34SRJ-24S-0.5SH(99)</t>
  </si>
  <si>
    <t>798-FH34SRJ24S05SH99</t>
  </si>
  <si>
    <t>https://www.mouser.co.uk/ProductDetail/Hirose-Connector/FH34SRJ-24S-0.5SH99?qs=vcbW%252B4%252BSTIpKBl5ap9J8Fw%3D%3D</t>
  </si>
  <si>
    <t>J2</t>
  </si>
  <si>
    <t>SAMACSYS_PARTS_USB4110-GF-A</t>
  </si>
  <si>
    <t>SAMACSYS_PARTS_USB4110GFA</t>
  </si>
  <si>
    <t>CONN USB 2.0 TYPE-C R/A SMT</t>
  </si>
  <si>
    <t>https://componentsearchengine.com/part-view/USB4110-GF-A/GCT%20(GLOBAL%20CONNECTOR%20TECHNOLOGY)</t>
  </si>
  <si>
    <t>3.26mm</t>
  </si>
  <si>
    <t>GCT (GLOBAL CONNECTOR TECHNOLOGY)</t>
  </si>
  <si>
    <t>USB4110-GF-A</t>
  </si>
  <si>
    <t>640-USB4110-GF-A</t>
  </si>
  <si>
    <t>https://www.mouser.co.uk/ProductDetail/GCT/USB4110-GF-A?qs=KUoIvG%2F9IlYiZvIXQjyJeA%3D%3D</t>
  </si>
  <si>
    <t>J3</t>
  </si>
  <si>
    <t>QWIIC_RIGHT_ANGLE</t>
  </si>
  <si>
    <t>QWIIC_CONNECTORJS-1MM</t>
  </si>
  <si>
    <t>JST04_1MM_RA</t>
  </si>
  <si>
    <t>SparkFun I2C Standard Qwiic Connector</t>
  </si>
  <si>
    <t>4208 Adafruit | Mouser</t>
  </si>
  <si>
    <t>CONN-13694</t>
  </si>
  <si>
    <t>J4</t>
  </si>
  <si>
    <t>112A-TAAR-R03_ATTEND</t>
  </si>
  <si>
    <t>112ATAARR03ATTEND</t>
  </si>
  <si>
    <t>Micro SD Card Socket, Push-Push Type, Top Mount, SMT, H=1.83mm, 10u</t>
  </si>
  <si>
    <t>https://store.comet.srl.ro/Catalogue/Product/43497/</t>
  </si>
  <si>
    <t>1.9mm</t>
  </si>
  <si>
    <t>ATTEND</t>
  </si>
  <si>
    <t>112A-TAAR-R03 ATTEND</t>
  </si>
  <si>
    <t>L1</t>
  </si>
  <si>
    <t>68uH</t>
  </si>
  <si>
    <t>744043680IND_4828-WE-TPC_WRE</t>
  </si>
  <si>
    <t>IND_4828-WE-TPC_WRE</t>
  </si>
  <si>
    <t>https://eu.mouser.com/ProductDetail/Wurth-Elektronik/744043680?qs=PGXP4M47uW6VkZq%252BkzjrHA%3D%3D</t>
  </si>
  <si>
    <t>Copyright (C) 2024 Ultra Librarian. All rights reserved.</t>
  </si>
  <si>
    <t>Wurth Electronics</t>
  </si>
  <si>
    <t>PFMF.050.1</t>
  </si>
  <si>
    <t>ESP32C6_VARISTORCN1812</t>
  </si>
  <si>
    <t>ESP32C6_VARISTOR_CT/CN1812</t>
  </si>
  <si>
    <t>VARISTOR</t>
  </si>
  <si>
    <t>https://www.mouser.co.uk/ProductDetail/EPCOS-TDK/B72520T0350K062?qs=dEfas%2FXlABIszF52uu7vrg%3D%3D</t>
  </si>
  <si>
    <t>Q1</t>
  </si>
  <si>
    <t>20V/4.2A/52mO/1.4W</t>
  </si>
  <si>
    <t>ESP32_WROVER_SPARKFUN-DISCRETESEMI_MOSFET_PCH-DMG2305UX-7</t>
  </si>
  <si>
    <t>ESP32_WROVER_SPARKFUN-DISCRETESEMI_SOT23-3</t>
  </si>
  <si>
    <t>P-channel MOSFETs</t>
  </si>
  <si>
    <t>https://componentsearchengine.com/part-view/DMG2305UX-7/Diodes%20Incorporated</t>
  </si>
  <si>
    <t>DMG2305UX-7</t>
  </si>
  <si>
    <t>TRAN-14388</t>
  </si>
  <si>
    <t>Q2</t>
  </si>
  <si>
    <t>Q3</t>
  </si>
  <si>
    <t>SI1308EDL-T1-GE3</t>
  </si>
  <si>
    <t>SOT65P210X110-3N</t>
  </si>
  <si>
    <t>MOSFET N-Ch 30V 1.5A TrenchFET SC70 Vishay Si1308EDL-T1-GE3 N-channel MOSFET Transistor, 1.5 A, 30 V, 3-Pin SC-70</t>
  </si>
  <si>
    <t>https://componentsearchengine.com/part-view/SI1308EDL-T1-GE3/Vishay</t>
  </si>
  <si>
    <t xml:space="preserve"> Si1308EDL-T1-GE3 N-channel MOSFET Transistor, 1.5 A, 30 V, 3-Pin SC-70 | Siliconix / Vishay SI1308EDL-T1-GE3 </t>
  </si>
  <si>
    <t>Vishay Siliconix</t>
  </si>
  <si>
    <t>SOT-323 Vishay Semiconductor</t>
  </si>
  <si>
    <t>https://www.snapeda.com/api/url_track_click_mouser/?unipart_id=274603&amp;manufacturer=Vishay Siliconix&amp;part_name=SI1308EDL-T1-GE3&amp;search_term=None</t>
  </si>
  <si>
    <t>https://www.snapeda.com/parts/SI1308EDL-T1-GE3/Vishay+Siliconix/view-part/?ref=snap</t>
  </si>
  <si>
    <t>R1</t>
  </si>
  <si>
    <t>10K</t>
  </si>
  <si>
    <t>ESP32_WROVER_EAGLE-LTSPICE_RR0402</t>
  </si>
  <si>
    <t>ESP32_WROVER_EAGLE-LTSPICE_R0402</t>
  </si>
  <si>
    <t>RESISTOR, European symbol</t>
  </si>
  <si>
    <t>R</t>
  </si>
  <si>
    <t>R1-PINH</t>
  </si>
  <si>
    <t>R1-PINH1</t>
  </si>
  <si>
    <t>R1_BAT</t>
  </si>
  <si>
    <t>R1_PWRUSB</t>
  </si>
  <si>
    <t>100K</t>
  </si>
  <si>
    <t>R2</t>
  </si>
  <si>
    <t>https://componentsearchengine.com/part-view/R0402%201%25%20100%20K%20(RC0402FR-07100KL)/YAGEO</t>
  </si>
  <si>
    <t>R2-PINH</t>
  </si>
  <si>
    <t>R2-PINH1</t>
  </si>
  <si>
    <t>R2-USB</t>
  </si>
  <si>
    <t>5k1</t>
  </si>
  <si>
    <t>R2-USB1</t>
  </si>
  <si>
    <t>R2_BAT</t>
  </si>
  <si>
    <t>2K</t>
  </si>
  <si>
    <t>R3</t>
  </si>
  <si>
    <t>R4</t>
  </si>
  <si>
    <t>R5</t>
  </si>
  <si>
    <t>R6</t>
  </si>
  <si>
    <t>R7</t>
  </si>
  <si>
    <t>R8</t>
  </si>
  <si>
    <t>R9</t>
  </si>
  <si>
    <t>R10</t>
  </si>
  <si>
    <t>RESET_BUTTON</t>
  </si>
  <si>
    <t>R_BOOT</t>
  </si>
  <si>
    <t>R_CAPACITOR</t>
  </si>
  <si>
    <t>R_CHANGE</t>
  </si>
  <si>
    <t>R_CL1</t>
  </si>
  <si>
    <t>R_RESET</t>
  </si>
  <si>
    <t>SENSOR2</t>
  </si>
  <si>
    <t>ESP32_WROVER_BME680_BME680</t>
  </si>
  <si>
    <t>ESP32_WROVER_BME680_PSON80P300X300X100-8N</t>
  </si>
  <si>
    <t>Integrated Environmental Unit</t>
  </si>
  <si>
    <t>Unavailable</t>
  </si>
  <si>
    <t>https://www.snapeda.com/parts/BME680/Bosch/view-part/?welcome=home</t>
  </si>
  <si>
    <t xml:space="preserve"> Integrated Environmental Unit </t>
  </si>
  <si>
    <t>Bosch Sensortec</t>
  </si>
  <si>
    <t>BME680</t>
  </si>
  <si>
    <t>LGA-8 Bosch Tools</t>
  </si>
  <si>
    <t>SJ1</t>
  </si>
  <si>
    <t>SJ</t>
  </si>
  <si>
    <t>SMD solder JUMPER</t>
  </si>
  <si>
    <t>TP1</t>
  </si>
  <si>
    <t>TPTP20R</t>
  </si>
  <si>
    <t>TP20R</t>
  </si>
  <si>
    <t>Test pad</t>
  </si>
  <si>
    <t>TX</t>
  </si>
  <si>
    <t>TP2</t>
  </si>
  <si>
    <t>RX</t>
  </si>
  <si>
    <t>TP3</t>
  </si>
  <si>
    <t>VBAT</t>
  </si>
  <si>
    <t>TP4</t>
  </si>
  <si>
    <t>GND</t>
  </si>
  <si>
    <t>TP5</t>
  </si>
  <si>
    <t>TP6</t>
  </si>
  <si>
    <t>MISO</t>
  </si>
  <si>
    <t>TP7</t>
  </si>
  <si>
    <t>MOSI</t>
  </si>
  <si>
    <t>TP8</t>
  </si>
  <si>
    <t>SCK</t>
  </si>
  <si>
    <t>TP9</t>
  </si>
  <si>
    <t>EPD_BUSY</t>
  </si>
  <si>
    <t>TP10</t>
  </si>
  <si>
    <t>EPD_CS</t>
  </si>
  <si>
    <t>TP11</t>
  </si>
  <si>
    <t>EPD_DC</t>
  </si>
  <si>
    <t>TP12</t>
  </si>
  <si>
    <t>EPD_RST</t>
  </si>
  <si>
    <t>TP13</t>
  </si>
  <si>
    <t>EPD_3V3_C</t>
  </si>
  <si>
    <t>TP14</t>
  </si>
  <si>
    <t>VBUS</t>
  </si>
  <si>
    <t>TP15</t>
  </si>
  <si>
    <t>INT_RTC</t>
  </si>
  <si>
    <t>TP16</t>
  </si>
  <si>
    <t>3V3</t>
  </si>
  <si>
    <t>TP17</t>
  </si>
  <si>
    <t>EPD_3V3</t>
  </si>
  <si>
    <t>U1</t>
  </si>
  <si>
    <t>W25Q512JVEIQ</t>
  </si>
  <si>
    <t>SON127P600X800X80-9N</t>
  </si>
  <si>
    <t>https://www.snapeda.com/parts/W25Q512JVEIQ/Winbond+Electronics/view-part/?ref=eda</t>
  </si>
  <si>
    <t xml:space="preserve"> FLASH - NOR Memory IC 512Mb (64M x 8) SPI - Quad I/O 133 MHz 8-WSON (8x6) </t>
  </si>
  <si>
    <t>Winbond Electronics</t>
  </si>
  <si>
    <t xml:space="preserve">Package </t>
  </si>
  <si>
    <t>https://www.snapeda.com/parts/W25Q512JVEIQ/Winbond+Electronics/view-part/?ref=snap</t>
  </si>
  <si>
    <t>U2</t>
  </si>
  <si>
    <t>ESP32-C6-WROOM-1-N8</t>
  </si>
  <si>
    <t>XCVR_ESP32-C6-WROOM-1-N8</t>
  </si>
  <si>
    <t>https://www.snapeda.com/parts/ESP32-C6-WROOM-1-N8/Espressif+Systems/view-part/?ref=eda</t>
  </si>
  <si>
    <t xml:space="preserve"> Multiprotocol Modules ESP32-C6 module, Wi-Fi 6 in 2.4 GHz band, Bluetooth 5, Zigbee 3.0 and Thread. ESP34-WROOM Compatible - ENGINEERING SAMPLE </t>
  </si>
  <si>
    <t>Espressif Systems</t>
  </si>
  <si>
    <t>https://www.snapeda.com/parts/ESP32-C6-WROOM-1-N8/Espressif+Systems/view-part/?ref=snap</t>
  </si>
  <si>
    <t>U3</t>
  </si>
  <si>
    <t>DS3231SN#</t>
  </si>
  <si>
    <t>SOIC127P1032X265-16N</t>
  </si>
  <si>
    <t>Real Time Clock Serial 16-Pin SOIC W T/R     Check availability</t>
  </si>
  <si>
    <t>https://www.snapeda.com/parts/DS3231SN%23/Analog+Devices/view-part/?ref=eda</t>
  </si>
  <si>
    <t xml:space="preserve"> Extremely Accurate I涎-Integrated RTC/TCXO/Crystal </t>
  </si>
  <si>
    <t>Analog Devices</t>
  </si>
  <si>
    <t>SOIC-16 Maxim</t>
  </si>
  <si>
    <t>https://www.snapeda.com/api/url_track_click_mouser/?unipart_id=99048&amp;manufacturer=Analog Devices&amp;part_name=DS3231SN#&amp;search_term=None</t>
  </si>
  <si>
    <t>https://www.snapeda.com/parts/DS3231SN%23/Analog+Devices/view-part/?ref=snap</t>
  </si>
  <si>
    <t>U4</t>
  </si>
  <si>
    <t>MAX17048G+T10</t>
  </si>
  <si>
    <t>SON50P200X200X80-9N</t>
  </si>
  <si>
    <t>https://www.snapeda.com/parts/MAX17048G+T10/Analog+Devices/view-part/?ref=eda</t>
  </si>
  <si>
    <t xml:space="preserve"> 3渙 1-Cell/2-Cell Fuel Gauge with ModelGauge </t>
  </si>
  <si>
    <t>TDFN-8 Maxim</t>
  </si>
  <si>
    <t>https://www.snapeda.com/api/url_track_click_mouser/?unipart_id=329239&amp;manufacturer=Analog Devices&amp;part_name=MAX17048G+T10&amp;search_term=None</t>
  </si>
  <si>
    <t>https://www.snapeda.com/parts/MAX17048G+T10/Analog+Devices/view-part/?ref=snap</t>
  </si>
  <si>
    <t>U5</t>
  </si>
  <si>
    <t>MCP73831</t>
  </si>
  <si>
    <t>ESP32_WROVER_SPARKFUN-IC-POWER_MCP73831</t>
  </si>
  <si>
    <t>ESP32_WROVER_SPARKFUN-IC-POWER_SOT23-5</t>
  </si>
  <si>
    <t>MCP73831T Li-Ion, Li-Pol Controller</t>
  </si>
  <si>
    <t>IC-09995</t>
  </si>
  <si>
    <r>
      <t xml:space="preserve">/(nu stiu daca e bun) </t>
    </r>
    <r>
      <rPr>
        <u/>
        <sz val="10"/>
        <color rgb="FF1155CC"/>
        <rFont val="Arial"/>
      </rPr>
      <t>https://www.digikey.com/en/products/detail/abracon-llc/AMCV-1812H-180-T/4245629</t>
    </r>
  </si>
  <si>
    <t>Check Prices (J)</t>
  </si>
  <si>
    <t>DataSheet (L)</t>
  </si>
  <si>
    <t>PURCHASE-URL (AH)</t>
  </si>
  <si>
    <t>SNAPEDA_LINK (AJ)</t>
  </si>
  <si>
    <t xml:space="preserve">Found </t>
  </si>
  <si>
    <t>Yes</t>
  </si>
  <si>
    <t>No 3D Model Found</t>
  </si>
  <si>
    <t>Part</t>
  </si>
  <si>
    <t>https://grabcad.com/library/solder-jumpers-1</t>
  </si>
  <si>
    <t>https://eu.mouser.com/ProductDetail/KYOCERA-AVX/F910J107MBAAJ6?qs=PqoDHHvF649LraCA%2FjeGXg%3D%3D</t>
  </si>
  <si>
    <t>https://industry.panasonic.com/global/en/downloads?tab=catalog&amp;small_g_cd=203&amp;part_no=EVQPUJ02K</t>
  </si>
  <si>
    <t>https://analytics.supplyframe.com/trackingservlet/track/?r=0x34EY99PS_gIu2qWuzU9_U842M9-un2szqNoXX0OQ9lqbiEKGN3BJ73jgvlrgiXR89Peb0evqc4GXoUXllBhmfH5FwctZio74NZjIXK4nxAjHZw7EMo6H_mmw_5v5T3l9JVrQfTeeAGaxgFGYIu23YBGAL2uoNdiaC9H1iPNaL1pAgze1HZwySGIaVntCe8evYTetZvHUr2i7oUyPyMJa1PdtSpW1re7v-7kKtr_uM-x3U-6L9TyIp4U2hjL_bPvL2fXxseBVtIjcnJFpiGY5hV_iiNrwSdXvJEd5SqhbFo5xx0V94UDdZgEiJMTdKmzyBaIu7_dzfPQN1cORRaOd8OvQqVMDQ2uTYmhHgI3vjaDSwwQb5g2l8dCcNuFpX1VLF8rT6_7mZmK7zdvridSE_wKk7CLnDbp-3dzdzkWWh5vwXgFGsp0_tlKyyvi9qjevYTetZvHUr2i7oUyPyMJZDsIqXdFh1HxhfUSNjMzhPGydOsztjgDAv6FhGlATxNfUfg4ta07U9FPBs_Y3BRuSELfSvHltz3TmK1K6jgVei9mpgXjFqme89W3E1CONBs</t>
  </si>
  <si>
    <t>https://ro.mouser.com/datasheet/2/40/F91_AJ6-3162641.pdf</t>
  </si>
  <si>
    <t>https://www.snapeda.com/parts/CPH3225A/Seiko%20Instruments/datasheet/</t>
  </si>
  <si>
    <t>https://www.snapeda.com/parts/KP-1608SURCK/Kingbright/view-part/?ref=search&amp;t=LED%200603</t>
  </si>
  <si>
    <t>https://www.snapeda.com/parts/KP-1608SURCK/Kingbright/datasheet/</t>
  </si>
  <si>
    <t>https://www.snapeda.com/parts/USBLC6-2SC6Y/STMicroelectronics/datasheet/</t>
  </si>
  <si>
    <t>https://ro.mouser.com/datasheet/2/40/schottky-3165252.pdf</t>
  </si>
  <si>
    <t>https://www.snapeda.com/parts/MBR0530/ON%20Semiconductor/datasheet/</t>
  </si>
  <si>
    <t>https://www.snapeda.com/parts/PGB1010603MR/Littelfuse%20Inc./datasheet/</t>
  </si>
  <si>
    <t>https://analytics.supplyframe.com/trackingservlet/track/?r=0x34EY99PS_gIu2qWuzU9_U842M9-un2szqNoXX0OQ9lqbiEKGN3BJ73jgvlrgiXR89Peb0evqc4GXoUXllBhmfH5FwctZio74NZjIXK4nzRihNQSXdSI3BytPQ01W2mbDl-BrHnDitFFECll9ZQTojC49rQmJNJKdgEcm3aSYjKEsMXPl-eGs-pMLJ6GfjQ2BiKCrz1Zc4X-qzG_VKV2vSzv5P64Ul7Il20ycllQHFjlUO2yTCSMr3lB_jTotw40hK-OEmTdpXx-FpzhJ86P5OvAlgiTQyMiC4Ffnw4yYxkQBVqaiFBg7qrqEqqVSG5v66qM9MTFYImVZ49_rSfStbzcxZuFs4E34nEuhMtfiKeEXX8C4ukc9Dx9NPlTcXcvuyK8oeiAy2ZaZQDfLPj6QFwce4mx7LCqKQZbV9OYmnvPS6jR1oAjYl8BoXRPWUJ15zMhGiMZbVlex-jQFMXW69CJW_IpZKRdsiNKH4ODU_1sqvLLuSSOT8tdE2JjOemnsC60ps8LwboHBeA2g6oA7NNs5-4F5aeZhiCtD42Z5ROwjQ2LlPtjcLlvpGBeHIItUY6A8k3oFuRSm1vUF3wN8_AuXjXENQ3hBxb6uKJO6IWX4DfXH-rBL1GXdAFk5fJeg6UJ1wtLjiR_lA2QrRxQg</t>
  </si>
  <si>
    <t>https://analytics.supplyframe.com/trackingservlet/track/?r=0x34EY99PS_gIu2qWuzU9_U842M9-un2szqNoXX0OQ9lqbiEKGN3BJ73jgvlrgiXR89Peb0evqc4GXoUXllBhmfH5FwctZio74NZjIXK4nyB_3F6n5b2GpxjFkeCFGxjIjl2pAOVy2zcoQGQxuo036k82aGL63A7iug3M0vDx44b9y4q5Rgkc_UTcoUbz-EFKm35u_Pt-UF5-Qq6wcvjqqlBMb2f4RZCO7jxguRPFrgtzlu-fR4ingqEGNbtkagfpmEwtRP5B3cC8Kbx1BcIGKPYw6AweR1OQe9e4kwHfOX0WSJenm7GAt6qfmRfSkY__Bln0SGRQRi7Gb6appE-It2tLEig19WC7b52EeQQlAWpHibjyTqb00F7pqNazdRJYga1x68e32CNZt8xWLj3NfJVDOHS8ZS42zhawi9DWA1aRL3hvdnRcB352G10IL46169qwDsBVTcBHABUmJOZLUiFPAKnU5dw3RkOVJIhv6hb0GJ6_iu4F4MNWLmP2ofAh9emlLrBRmI1lrzpkKKDvQ</t>
  </si>
  <si>
    <t>https://analytics.supplyframe.com/trackingservlet/track/?r=0x34EY99PS_gIu2qWuzU9_U842M9-un2szqNoXX0OQ9lqbiEKGN3BJ73jgvlrgiXR89Peb0evqc4GXoUXllBhmfH5FwctZio74NZjIXK4nyB_3F6n5b2GpxjFkeCFGxjIjl2pAOVy2zcoQGQxuo036k82aGL63A7iug3M0vDx44b9y4q5Rgkc_UTcoUbz-EFKm35u_Pt-UF5-Qq6wcvjqqlBMb2f4RZCO7jxguRPFrgtzlu-fR4ingqEGNbtkagfpmEwtRP5B3cC8Kbx1BcIGKPYw6AweR1OQe9e4kwHfOX0WSJenm7GAt6qfmRfSkY__Bln0SGRQRi7Gb6appE-It2tLEig19WC7b52EeQQlAVZAmjkjl9RSryO-btGBH9xYga1x68e32CNZt8xWLj3NfJVDOHS8ZS42zhawi9DWA1aRL3hvdnRcB352G10IL46169qwDsBVTcBHABUmJOZLUiFPAKnU5dw3RkOVJIhv6hb0GJ6_iu4F4MNWLmP2ofAh9emlLrBRmI1lrzpkKKDvQ</t>
  </si>
  <si>
    <t>https://analytics.supplyframe.com/trackingservlet/track/?r=0x34EY99PS_gIu2qWuzU9_U842M9-un2szqNoXX0OQ9lqbiEKGN3BJ73jgvlrgiXR89Peb0evqc4GXoUXllBhmfH5FwctZio74NZjIXK4nzoCi89ZctA4-kDp3BQhkXpH2DzsdO0BvVNaNDstYgXoJP31ecBQz8TbvXGeDXm6lLlGaktv_ZGcnQDXY_Jm4l7qTzZoYvrcDuK6DczS8PHjvO_sLMu5UeAZ8GC7ci13apB0YMahqYRJzrQKert1kdW90QfLJiqmEa800fLodTIaw6Y6Er8Udb1Qer9oaUT73Q0u_seRB1eNyIOWRehwOBjnt5uE3551K46VPpa8BqQGgL8C7WZ9xB_-wXKErpK07VtbRf3EeHwJSoZTlUkLiK1n4ej5DBFkUkQWc_1u9LdksKwxt-NL4Q595A7224xsugtkbEFPk8oOxSGJ_LHYAQAbZcxjTr7-0B2gfKUc0nIgMhHQ1ZmsU-U87OSIrunF4mGuvL05dMNyqXJqtC-uoX003WGaG4kTFpIgyyEskwr4Y4nNs8v65MrOUj8A-o40EQUWDLttvT4qqUpxJw-bbM4kRSPfo2732k6xYzg6g3hisuczWtyDRXRBbx2AzOqNGhOKW6MmYPiwZBj99pIC-1j</t>
  </si>
  <si>
    <t>https://www.armega.com.tr/datasheet/4208-adafruit-industries-llc-datasheet-7323652</t>
  </si>
  <si>
    <t>https://store.comet.bg/download-file.php?id=8824</t>
  </si>
  <si>
    <t>https://www.we-online.com/components/products/datasheet/744043680.pdf</t>
  </si>
  <si>
    <t>https://www.tdk-electronics.tdk.com/inf/75/db/CTVS_14/Surge_protection_series.pdf</t>
  </si>
  <si>
    <t>https://analytics.supplyframe.com/trackingservlet/track/?r=0x34EY99PS_gIu2qWuzU9_U842M9-un2szqNoXX0OQ9lqbiEKGN3BJ73jgvlrgiXR89Peb0evqc4GXoUXllBhmfH5FwctZio74NZjIXK4nxtqjPHN9-H5PBy53yJrrJZbBH4NAdcIMgEdV_gE1O6mVpxBjQq-HnrRVl4ju3mUj1MvOu9WoqnIQyy7W1YwvcX9VCRJhgRdTTXzdu_kskJxI7qHOaJ0KNYNdgDqe7ulUDDBYEvyQzFh2GA3-28PfZUrgL3V_Lp9QnbJWkRGpsoanEWySrhnFyviXvGf2lgisSLzXYOlJfkMqQK6l_2ZC-ZTT2BcKQ6WVqOBdOtHAJOJ9cvrXMIaIuGSFqVzG8uPFl2SygWLApeagXDewU6Pk1dNJhblENVoy_rqyoAXESNUELMRzOCoN9cRB6wuyIlPj5cU1-C3stG4f02YzfyJ5AcSrLEYWLqR3hfojQpMdAuDb5XxeXJ6Q-0EJTyAN08GE5IU7v-fDrD_q-Vag1rwTbBavWRcsShwa_HGaTwIgGWIRKUZFpYTAm1NA4_5an7HedeBYOvsLvMBoSrxg0BzVjFxR_dKN7f2E-sehvRtvEykg</t>
  </si>
  <si>
    <t>https://analytics.supplyframe.com/trackingservlet/track/?r=0x34EY99PS_gIu2qWuzU9_U842M9-un2szqNoXX0OQ9lqbiEKGN3BJ73jgvlrgiXR89Peb0evqc4GXoUXllBhmfH5FwctZio74NZjIXK4nyAMyAqhHVNKsGe3pXOcOS5GeUpnYTHKSU1tSdDUz28FcNYpvUwKkT6-1c90QkYZSj1pAgze1HZwySGIaVntCe8evYTetZvHUr2i7oUyPyMJa1PdtSpW1re7v-7kKtr_uOfeYNMcNjLouXu8S9MGi6uiqcu-iYncJUKgdR71X7_E3EWySrhnFyviXvGf2lgisSLzXYOlJfkMqQK6l_2ZC-ZTT2BcKQ6WVqOBdOtHAJOJ9cvrXMIaIuGSFqVzG8uPFl2SygWLApeagXDewU6Pk1dObu-zw3LYhuJ3HJplpMjoULMRzOCoN9cRB6wuyIlPj5cU1-C3stG4f02YzfyJ5AcSrLEYWLqR3hfojQpMdAuDb5XxeXJ6Q-0EJTyAN08GE6pEvvQQaaDiDZnDSaMvTi_jJTd1ASKLIri-KACGiFw5m8OPkD82bIIKi8Ws7ZEVeNL8L3abUypxfTWh-4g2-e_</t>
  </si>
  <si>
    <t>https://analytics.supplyframe.com/trackingservlet/track/?r=0x34EY99PS_gIu2qWuzU9_U842M9-un2szqNoXX0OQ9lqbiEKGN3BJ73jgvlrgiXR89Peb0evqc4GXoUXllBhmfH5FwctZio74NZjIXK4nytd6HouwDNkBJ6EbvJG_W1dvQ33O37oQvrBIGmAmWf7WaTE1x7V-fhYVb8BzYSgNk10lRrx9ydF05rSu_yF-RcTLzrvVqKpyEMsu1tWML3F5NsDK3eYvMDWLFReFpcpYcQT6VJIIHxe2IkeuwFaNGGth_bPArqAVRLfjMYZDlSoV5_e61wrdrMeBLi53h3S0fpxDEX4TLvuLsi8JJGhgQx2voMmyqY6gjXW05FuTS5Qg0wN73a4RXBC7fJniBn8ypxFskq4Zxcr4l7xn9pYIrEi812DpSX5DKkCupf9mQvmU09gXCkOllajgXTrRwCTifXL61zCGiLhkhalcxvLjxZdksoFiwKXmoFw3sFOj5NXbOl-7E3nwxMOf9g6RoMxoJCzEczgqDfXEQesLsiJT4-XFNfgt7LRuH9NmM38ieQHEqyxGFi6kd4X6I0KTHQLg2-V8XlyekPtBCU8gDdPBhOQ17Oj7rYC0lA0EcA__td0qxqTJ8t7VxJcv7gPOP6anfgCpsnupcmJj6zFPjIrtqj4NWwwbbecRBKOv7doyTdwmzqoyGGrGPY7DQKSHciWg8bVbcRRGkiiDqhUGgHHavJxR_dKN7f2E-sehvRtvEykg</t>
  </si>
  <si>
    <t>https://www.snapeda.com/parts/BME680/Bosch%20Sensortec/datasheet/</t>
  </si>
  <si>
    <t>https://www.snapeda.com/parts/W25Q512JVEIQ/Winbond%20Electronics/datasheet/</t>
  </si>
  <si>
    <t>https://www.snapeda.com/parts/ESP32-C6-WROOM-1-N8/Espressif%20Systems/datasheet/</t>
  </si>
  <si>
    <t>https://www.snapeda.com/parts/DS3231SN%23/Analog%20Devices/datasheet/</t>
  </si>
  <si>
    <t>https://www.snapeda.com/parts/MAX17048G+T10/Analog%20Devices/datasheet/</t>
  </si>
  <si>
    <t>https://eu.mouser.com/ProductDetail/Microchip-Technology/MCP73831T-2ACI-OT?qs=yUQqVecv4qvbBQBGbHx0Mw%3D%3D</t>
  </si>
  <si>
    <t>https://ro.mouser.com/datasheet/2/268/MCP73831_Family_Data_Sheet_DS20001984H-3441711.pdf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</si>
</sst>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sz val="10"/>
      <color theme="1"/>
      <name val="Arial"/>
      <scheme val="minor"/>
    </font>
    <font>
      <u/>
      <sz val="10"/>
      <color rgb="FF0000FF"/>
      <name val="Arial"/>
    </font>
    <font>
      <sz val="10"/>
      <color rgb="FF000000"/>
      <name val="Arial"/>
      <scheme val="minor"/>
    </font>
    <font>
      <u/>
      <sz val="10"/>
      <color rgb="FF0000FF"/>
      <name val="Arial"/>
    </font>
    <font>
      <u/>
      <sz val="10"/>
      <color rgb="FF0000FF"/>
      <name val="Arial"/>
    </font>
    <font>
      <u/>
      <sz val="10"/>
      <color rgb="FF0000FF"/>
      <name val="Arial"/>
    </font>
    <font>
      <u/>
      <sz val="10"/>
      <color rgb="FF000000"/>
      <name val="Arial"/>
    </font>
    <font>
      <u/>
      <sz val="10"/>
      <color rgb="FF0000FF"/>
      <name val="Arial"/>
    </font>
    <font>
      <u/>
      <sz val="10"/>
      <color rgb="FF0000FF"/>
      <name val="Arial"/>
    </font>
    <font>
      <u/>
      <sz val="10"/>
      <color rgb="FF434343"/>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theme="10"/>
      <name val="Arial"/>
      <scheme val="minor"/>
    </font>
    <font>
      <sz val="10"/>
      <name val="Arial"/>
      <family val="2"/>
      <scheme val="minor"/>
    </font>
  </fonts>
  <fills count="4">
    <fill>
      <patternFill patternType="none"/>
    </fill>
    <fill>
      <patternFill patternType="gray125"/>
    </fill>
    <fill>
      <patternFill patternType="solid">
        <fgColor rgb="FF00FFFF"/>
        <bgColor rgb="FF00FFFF"/>
      </patternFill>
    </fill>
    <fill>
      <patternFill patternType="solid">
        <fgColor rgb="FFFFFF00"/>
        <bgColor rgb="FFFFFF00"/>
      </patternFill>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24">
    <xf numFmtId="0" fontId="0" fillId="0" borderId="0" xfId="0"/>
    <xf numFmtId="0" fontId="1" fillId="0" borderId="0" xfId="0" applyFont="1" applyAlignment="1">
      <alignment horizontal="center" wrapText="1"/>
    </xf>
    <xf numFmtId="0" fontId="2" fillId="2" borderId="0" xfId="0" applyFont="1" applyFill="1" applyAlignment="1">
      <alignment horizontal="center" wrapText="1"/>
    </xf>
    <xf numFmtId="0" fontId="4" fillId="3" borderId="0" xfId="0" applyFont="1" applyFill="1" applyAlignment="1">
      <alignment horizontal="center" wrapText="1"/>
    </xf>
    <xf numFmtId="0" fontId="5" fillId="0" borderId="0" xfId="0" applyFont="1" applyAlignment="1">
      <alignment horizontal="center" wrapText="1"/>
    </xf>
    <xf numFmtId="0" fontId="6" fillId="3" borderId="0" xfId="0" applyFont="1" applyFill="1" applyAlignment="1">
      <alignment horizontal="center" wrapText="1"/>
    </xf>
    <xf numFmtId="0" fontId="7" fillId="3" borderId="0" xfId="0" applyFont="1" applyFill="1" applyAlignment="1">
      <alignment horizontal="center" wrapText="1"/>
    </xf>
    <xf numFmtId="0" fontId="3" fillId="0" borderId="0" xfId="0" applyFont="1" applyAlignment="1">
      <alignment horizontal="center" wrapText="1"/>
    </xf>
    <xf numFmtId="0" fontId="8" fillId="2" borderId="0" xfId="0" applyFont="1" applyFill="1" applyAlignment="1">
      <alignment horizontal="center" wrapText="1"/>
    </xf>
    <xf numFmtId="0" fontId="9" fillId="0" borderId="0" xfId="0" applyFont="1" applyAlignment="1">
      <alignment horizontal="center" wrapText="1"/>
    </xf>
    <xf numFmtId="0" fontId="10" fillId="3" borderId="0" xfId="0" applyFont="1" applyFill="1" applyAlignment="1">
      <alignment horizontal="center" wrapText="1"/>
    </xf>
    <xf numFmtId="0" fontId="11" fillId="0" borderId="0" xfId="0" applyFont="1" applyAlignment="1">
      <alignment wrapText="1"/>
    </xf>
    <xf numFmtId="0" fontId="1" fillId="0" borderId="0" xfId="0" applyFont="1" applyAlignment="1">
      <alignment wrapText="1"/>
    </xf>
    <xf numFmtId="0" fontId="12" fillId="0" borderId="0" xfId="0" applyFont="1" applyAlignment="1">
      <alignment wrapText="1"/>
    </xf>
    <xf numFmtId="0" fontId="13" fillId="3" borderId="0" xfId="0" applyFont="1" applyFill="1" applyAlignment="1">
      <alignment wrapText="1"/>
    </xf>
    <xf numFmtId="0" fontId="14" fillId="0" borderId="0" xfId="0" applyFont="1" applyAlignment="1">
      <alignment wrapText="1"/>
    </xf>
    <xf numFmtId="0" fontId="1" fillId="3" borderId="0" xfId="0" applyFont="1" applyFill="1" applyAlignment="1">
      <alignment wrapText="1"/>
    </xf>
    <xf numFmtId="0" fontId="1" fillId="0" borderId="0" xfId="0" applyFont="1"/>
    <xf numFmtId="0" fontId="15" fillId="0" borderId="0" xfId="0" applyFont="1" applyAlignment="1">
      <alignment horizontal="center" wrapText="1"/>
    </xf>
    <xf numFmtId="0" fontId="17" fillId="2" borderId="0" xfId="1" applyFill="1" applyAlignment="1">
      <alignment horizontal="center" wrapText="1"/>
    </xf>
    <xf numFmtId="0" fontId="17" fillId="0" borderId="0" xfId="1" applyAlignment="1">
      <alignment horizontal="center" wrapText="1"/>
    </xf>
    <xf numFmtId="0" fontId="18" fillId="0" borderId="0" xfId="0" applyFont="1" applyFill="1" applyAlignment="1">
      <alignment horizontal="center" wrapText="1"/>
    </xf>
    <xf numFmtId="0" fontId="17" fillId="0" borderId="0" xfId="1" applyAlignment="1">
      <alignment wrapText="1"/>
    </xf>
    <xf numFmtId="0" fontId="17" fillId="0" borderId="0" xfId="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snapeda.com/parts/PGB1010603MR/Littelfuse/view-part/?ref=snap" TargetMode="External"/><Relationship Id="rId21" Type="http://schemas.openxmlformats.org/officeDocument/2006/relationships/hyperlink" Target="https://www.snapeda.com/parts/PGB1010603MR/Littelfuse/view-part/?ref=eda" TargetMode="External"/><Relationship Id="rId42" Type="http://schemas.openxmlformats.org/officeDocument/2006/relationships/hyperlink" Target="https://www.mouser.co.uk/ProductDetail/EPCOS-TDK/B72520T0350K062?qs=dEfas%2FXlABIszF52uu7vrg%3D%3D" TargetMode="External"/><Relationship Id="rId47" Type="http://schemas.openxmlformats.org/officeDocument/2006/relationships/hyperlink" Target="https://componentsearchengine.com/part-view/R0402%201%25%20100%20K%20(RC0402FR-07100KL)/YAGEO" TargetMode="External"/><Relationship Id="rId63" Type="http://schemas.openxmlformats.org/officeDocument/2006/relationships/hyperlink" Target="https://industry.panasonic.com/global/en/downloads?tab=catalog&amp;small_g_cd=203&amp;part_no=EVQPUJ02K" TargetMode="External"/><Relationship Id="rId68" Type="http://schemas.openxmlformats.org/officeDocument/2006/relationships/hyperlink" Target="https://www.snapeda.com/parts/MBR0530/ON%20Semiconductor/datasheet/" TargetMode="External"/><Relationship Id="rId84" Type="http://schemas.openxmlformats.org/officeDocument/2006/relationships/hyperlink" Target="https://www.snapeda.com/parts/DS3231SN%23/Analog%20Devices/datasheet/" TargetMode="External"/><Relationship Id="rId16" Type="http://schemas.openxmlformats.org/officeDocument/2006/relationships/hyperlink" Target="https://www.snapeda.com/parts/MBR0530/Onsemi/view-part/?ref=snap" TargetMode="External"/><Relationship Id="rId11" Type="http://schemas.openxmlformats.org/officeDocument/2006/relationships/hyperlink" Target="https://eu.mouser.com/ProductDetail/KYOCERA-AVX/SD0805S020S1R0?qs=jCA%252BPfw4LHbpkAoSnwrdjw%3D%3D" TargetMode="External"/><Relationship Id="rId32" Type="http://schemas.openxmlformats.org/officeDocument/2006/relationships/hyperlink" Target="https://www.mouser.co.uk/ProductDetail/ROHM-Semiconductor/BD5229G-TR?qs=4kLU8WoGk0vvnhrrYwdszw%3D%3D" TargetMode="External"/><Relationship Id="rId37" Type="http://schemas.openxmlformats.org/officeDocument/2006/relationships/hyperlink" Target="https://componentsearchengine.com/part-view/USB4110-GF-A/GCT%20(GLOBAL%20CONNECTOR%20TECHNOLOGY)" TargetMode="External"/><Relationship Id="rId53" Type="http://schemas.openxmlformats.org/officeDocument/2006/relationships/hyperlink" Target="https://www.snapeda.com/parts/ESP32-C6-WROOM-1-N8/Espressif+Systems/view-part/?ref=snap" TargetMode="External"/><Relationship Id="rId58" Type="http://schemas.openxmlformats.org/officeDocument/2006/relationships/hyperlink" Target="https://eu.mouser.com/ProductDetail/Microchip-Technology/MCP73831T-2ACI-OT?qs=yUQqVecv4qvbBQBGbHx0Mw%3D%3D" TargetMode="External"/><Relationship Id="rId74" Type="http://schemas.openxmlformats.org/officeDocument/2006/relationships/hyperlink" Target="https://www.snapeda.com/parts/PGB1010603MR/Littelfuse%20Inc./datasheet/" TargetMode="External"/><Relationship Id="rId79" Type="http://schemas.openxmlformats.org/officeDocument/2006/relationships/hyperlink" Target="https://analytics.supplyframe.com/trackingservlet/track/?r=0x34EY99PS_gIu2qWuzU9_U842M9-un2szqNoXX0OQ9lqbiEKGN3BJ73jgvlrgiXR89Peb0evqc4GXoUXllBhmfH5FwctZio74NZjIXK4nyAMyAqhHVNKsGe3pXOcOS5GeUpnYTHKSU1tSdDUz28FcNYpvUwKkT6-1c90QkYZSj1pAgze1HZwySGIaVntCe8evYTetZvHUr2i7oUyPyMJa1PdtSpW1re7v-7kKtr_uOfeYNMcNjLouXu8S9MGi6uiqcu-iYncJUKgdR71X7_E3EWySrhnFyviXvGf2lgisSLzXYOlJfkMqQK6l_2ZC-ZTT2BcKQ6WVqOBdOtHAJOJ9cvrXMIaIuGSFqVzG8uPFl2SygWLApeagXDewU6Pk1dObu-zw3LYhuJ3HJplpMjoULMRzOCoN9cRB6wuyIlPj5cU1-C3stG4f02YzfyJ5AcSrLEYWLqR3hfojQpMdAuDb5XxeXJ6Q-0EJTyAN08GE6pEvvQQaaDiDZnDSaMvTi_jJTd1ASKLIri-KACGiFw5m8OPkD82bIIKi8Ws7ZEVeNL8L3abUypxfTWh-4g2-e_" TargetMode="External"/><Relationship Id="rId5" Type="http://schemas.openxmlformats.org/officeDocument/2006/relationships/hyperlink" Target="https://industry.panasonic.com/global/en/products/control/switch/light-touch/number/evqpuj02k" TargetMode="External"/><Relationship Id="rId19" Type="http://schemas.openxmlformats.org/officeDocument/2006/relationships/hyperlink" Target="https://eu.mouser.com/ProductDetail/KYOCERA-AVX/SD0805S020S1R0?qs=jCA%252BPfw4LHbpkAoSnwrdjw%3D%3D" TargetMode="External"/><Relationship Id="rId14" Type="http://schemas.openxmlformats.org/officeDocument/2006/relationships/hyperlink" Target="https://www.snapeda.com/parts/MBR0530/Onsemi/view-part/?ref=snap" TargetMode="External"/><Relationship Id="rId22" Type="http://schemas.openxmlformats.org/officeDocument/2006/relationships/hyperlink" Target="https://www.snapeda.com/parts/PGB1010603MR/Littelfuse/view-part/?ref=snap" TargetMode="External"/><Relationship Id="rId27" Type="http://schemas.openxmlformats.org/officeDocument/2006/relationships/hyperlink" Target="https://www.snapeda.com/parts/PGB1010603MR/Littelfuse/view-part/?ref=eda" TargetMode="External"/><Relationship Id="rId30" Type="http://schemas.openxmlformats.org/officeDocument/2006/relationships/hyperlink" Target="https://www.snapeda.com/parts/PGB1010603MR/Littelfuse/view-part/?ref=snap" TargetMode="External"/><Relationship Id="rId35" Type="http://schemas.openxmlformats.org/officeDocument/2006/relationships/hyperlink" Target="https://componentsearchengine.com/part-view/XC6220A331MR-G/Torex" TargetMode="External"/><Relationship Id="rId43" Type="http://schemas.openxmlformats.org/officeDocument/2006/relationships/hyperlink" Target="https://www.tdk-electronics.tdk.com/inf/75/db/CTVS_14/Surge_protection_series.pdf" TargetMode="External"/><Relationship Id="rId48" Type="http://schemas.openxmlformats.org/officeDocument/2006/relationships/hyperlink" Target="https://industry.panasonic.com/global/en/products/control/switch/light-touch/number/evqpuj02k" TargetMode="External"/><Relationship Id="rId56" Type="http://schemas.openxmlformats.org/officeDocument/2006/relationships/hyperlink" Target="https://www.snapeda.com/parts/MAX17048G+T10/Analog+Devices/view-part/?ref=eda" TargetMode="External"/><Relationship Id="rId64" Type="http://schemas.openxmlformats.org/officeDocument/2006/relationships/hyperlink" Target="https://www.snapeda.com/parts/KP-1608SURCK/Kingbright/datasheet/" TargetMode="External"/><Relationship Id="rId69" Type="http://schemas.openxmlformats.org/officeDocument/2006/relationships/hyperlink" Target="https://www.snapeda.com/parts/PGB1010603MR/Littelfuse%20Inc./datasheet/" TargetMode="External"/><Relationship Id="rId77" Type="http://schemas.openxmlformats.org/officeDocument/2006/relationships/hyperlink" Target="https://www.we-online.com/components/products/datasheet/744043680.pdf" TargetMode="External"/><Relationship Id="rId8" Type="http://schemas.openxmlformats.org/officeDocument/2006/relationships/hyperlink" Target="https://www.snapeda.com/parts/USBLC6-2SC6Y/STMicroelectronics/view-part/?ref=snap" TargetMode="External"/><Relationship Id="rId51" Type="http://schemas.openxmlformats.org/officeDocument/2006/relationships/hyperlink" Target="https://www.snapeda.com/parts/W25Q512JVEIQ/Winbond+Electronics/view-part/?ref=snap" TargetMode="External"/><Relationship Id="rId72" Type="http://schemas.openxmlformats.org/officeDocument/2006/relationships/hyperlink" Target="https://www.snapeda.com/parts/PGB1010603MR/Littelfuse%20Inc./datasheet/" TargetMode="External"/><Relationship Id="rId80" Type="http://schemas.openxmlformats.org/officeDocument/2006/relationships/hyperlink" Target="https://industry.panasonic.com/global/en/downloads?tab=catalog&amp;small_g_cd=203&amp;part_no=EVQPUJ02K" TargetMode="External"/><Relationship Id="rId85" Type="http://schemas.openxmlformats.org/officeDocument/2006/relationships/hyperlink" Target="https://www.snapeda.com/parts/MAX17048G+T10/Analog%20Devices/datasheet/" TargetMode="External"/><Relationship Id="rId3" Type="http://schemas.openxmlformats.org/officeDocument/2006/relationships/hyperlink" Target="https://www.snapeda.com/parts/CPH3225A/Seiko+Instruments/view-part/?ref=eda" TargetMode="External"/><Relationship Id="rId12" Type="http://schemas.openxmlformats.org/officeDocument/2006/relationships/hyperlink" Target="https://www.snapeda.com/parts/MBR0530/Onsemi/view-part/?ref=snap" TargetMode="External"/><Relationship Id="rId17" Type="http://schemas.openxmlformats.org/officeDocument/2006/relationships/hyperlink" Target="https://www.snapeda.com/parts/PGB1010603MR/Littelfuse/view-part/?ref=eda" TargetMode="External"/><Relationship Id="rId25" Type="http://schemas.openxmlformats.org/officeDocument/2006/relationships/hyperlink" Target="https://www.snapeda.com/parts/PGB1010603MR/Littelfuse/view-part/?ref=eda" TargetMode="External"/><Relationship Id="rId33" Type="http://schemas.openxmlformats.org/officeDocument/2006/relationships/hyperlink" Target="https://componentsearchengine.com/part-view/XC6220A331MR-G/Torex" TargetMode="External"/><Relationship Id="rId38" Type="http://schemas.openxmlformats.org/officeDocument/2006/relationships/hyperlink" Target="https://www.mouser.co.uk/ProductDetail/GCT/USB4110-GF-A?qs=KUoIvG%2F9IlYiZvIXQjyJeA%3D%3D" TargetMode="External"/><Relationship Id="rId46" Type="http://schemas.openxmlformats.org/officeDocument/2006/relationships/hyperlink" Target="https://www.snapeda.com/parts/SI1308EDL-T1-GE3/Vishay+Siliconix/view-part/?ref=snap" TargetMode="External"/><Relationship Id="rId59" Type="http://schemas.openxmlformats.org/officeDocument/2006/relationships/hyperlink" Target="https://eu.mouser.com/ProductDetail/KYOCERA-AVX/F910J107MBAAJ6?qs=PqoDHHvF649LraCA%2FjeGXg%3D%3D" TargetMode="External"/><Relationship Id="rId67" Type="http://schemas.openxmlformats.org/officeDocument/2006/relationships/hyperlink" Target="https://www.snapeda.com/parts/MBR0530/ON%20Semiconductor/datasheet/" TargetMode="External"/><Relationship Id="rId20" Type="http://schemas.openxmlformats.org/officeDocument/2006/relationships/hyperlink" Target="http://datasheets.avx.com/schottky.pdf" TargetMode="External"/><Relationship Id="rId41" Type="http://schemas.openxmlformats.org/officeDocument/2006/relationships/hyperlink" Target="https://eu.mouser.com/ProductDetail/Wurth-Elektronik/744043680?qs=PGXP4M47uW6VkZq%252BkzjrHA%3D%3D" TargetMode="External"/><Relationship Id="rId54" Type="http://schemas.openxmlformats.org/officeDocument/2006/relationships/hyperlink" Target="https://www.snapeda.com/parts/DS3231SN%23/Analog+Devices/view-part/?ref=eda" TargetMode="External"/><Relationship Id="rId62" Type="http://schemas.openxmlformats.org/officeDocument/2006/relationships/hyperlink" Target="https://www.snapeda.com/parts/CPH3225A/Seiko%20Instruments/datasheet/" TargetMode="External"/><Relationship Id="rId70" Type="http://schemas.openxmlformats.org/officeDocument/2006/relationships/hyperlink" Target="https://www.snapeda.com/parts/PGB1010603MR/Littelfuse%20Inc./datasheet/" TargetMode="External"/><Relationship Id="rId75" Type="http://schemas.openxmlformats.org/officeDocument/2006/relationships/hyperlink" Target="https://www.armega.com.tr/datasheet/4208-adafruit-industries-llc-datasheet-7323652" TargetMode="External"/><Relationship Id="rId83" Type="http://schemas.openxmlformats.org/officeDocument/2006/relationships/hyperlink" Target="https://www.snapeda.com/parts/ESP32-C6-WROOM-1-N8/Espressif%20Systems/datasheet/" TargetMode="External"/><Relationship Id="rId1" Type="http://schemas.openxmlformats.org/officeDocument/2006/relationships/hyperlink" Target="https://industry.panasonic.com/global/en/products/control/switch/light-touch/number/evqpuj02k" TargetMode="External"/><Relationship Id="rId6" Type="http://schemas.openxmlformats.org/officeDocument/2006/relationships/hyperlink" Target="https://www.snapeda.com/parts/KP-1608SURCK/Kingbright/view-part/?ref=search&amp;t=LED%200603" TargetMode="External"/><Relationship Id="rId15" Type="http://schemas.openxmlformats.org/officeDocument/2006/relationships/hyperlink" Target="https://www.snapeda.com/parts/MBR0530/Onsemi/view-part/?ref=eda" TargetMode="External"/><Relationship Id="rId23" Type="http://schemas.openxmlformats.org/officeDocument/2006/relationships/hyperlink" Target="https://www.snapeda.com/parts/PGB1010603MR/Littelfuse/view-part/?ref=eda" TargetMode="External"/><Relationship Id="rId28" Type="http://schemas.openxmlformats.org/officeDocument/2006/relationships/hyperlink" Target="https://www.snapeda.com/parts/PGB1010603MR/Littelfuse/view-part/?ref=snap" TargetMode="External"/><Relationship Id="rId36" Type="http://schemas.openxmlformats.org/officeDocument/2006/relationships/hyperlink" Target="https://www.mouser.co.uk/ProductDetail/Hirose-Connector/FH34SRJ-24S-0.5SH99?qs=vcbW%252B4%252BSTIpKBl5ap9J8Fw%3D%3D" TargetMode="External"/><Relationship Id="rId49" Type="http://schemas.openxmlformats.org/officeDocument/2006/relationships/hyperlink" Target="https://www.snapeda.com/parts/BME680/Bosch/view-part/?welcome=home" TargetMode="External"/><Relationship Id="rId57" Type="http://schemas.openxmlformats.org/officeDocument/2006/relationships/hyperlink" Target="https://www.snapeda.com/parts/MAX17048G+T10/Analog+Devices/view-part/?ref=snap" TargetMode="External"/><Relationship Id="rId10" Type="http://schemas.openxmlformats.org/officeDocument/2006/relationships/hyperlink" Target="http://datasheets.avx.com/schottky.pdf" TargetMode="External"/><Relationship Id="rId31" Type="http://schemas.openxmlformats.org/officeDocument/2006/relationships/hyperlink" Target="https://componentsearchengine.com/part-view/BD5229G-TR/ROHM%20Semiconductor" TargetMode="External"/><Relationship Id="rId44" Type="http://schemas.openxmlformats.org/officeDocument/2006/relationships/hyperlink" Target="https://componentsearchengine.com/part-view/DMG2305UX-7/Diodes%20Incorporated" TargetMode="External"/><Relationship Id="rId52" Type="http://schemas.openxmlformats.org/officeDocument/2006/relationships/hyperlink" Target="https://www.snapeda.com/parts/ESP32-C6-WROOM-1-N8/Espressif+Systems/view-part/?ref=eda" TargetMode="External"/><Relationship Id="rId60" Type="http://schemas.openxmlformats.org/officeDocument/2006/relationships/hyperlink" Target="https://industry.panasonic.com/global/en/downloads?tab=catalog&amp;small_g_cd=203&amp;part_no=EVQPUJ02K" TargetMode="External"/><Relationship Id="rId65" Type="http://schemas.openxmlformats.org/officeDocument/2006/relationships/hyperlink" Target="https://www.snapeda.com/parts/USBLC6-2SC6Y/STMicroelectronics/datasheet/" TargetMode="External"/><Relationship Id="rId73" Type="http://schemas.openxmlformats.org/officeDocument/2006/relationships/hyperlink" Target="https://www.snapeda.com/parts/PGB1010603MR/Littelfuse%20Inc./datasheet/" TargetMode="External"/><Relationship Id="rId78" Type="http://schemas.openxmlformats.org/officeDocument/2006/relationships/hyperlink" Target="https://analytics.supplyframe.com/trackingservlet/track/?r=0x34EY99PS_gIu2qWuzU9_U842M9-un2szqNoXX0OQ9lqbiEKGN3BJ73jgvlrgiXR89Peb0evqc4GXoUXllBhmfH5FwctZio74NZjIXK4nxtqjPHN9-H5PBy53yJrrJZbBH4NAdcIMgEdV_gE1O6mVpxBjQq-HnrRVl4ju3mUj1MvOu9WoqnIQyy7W1YwvcX9VCRJhgRdTTXzdu_kskJxI7qHOaJ0KNYNdgDqe7ulUDDBYEvyQzFh2GA3-28PfZUrgL3V_Lp9QnbJWkRGpsoanEWySrhnFyviXvGf2lgisSLzXYOlJfkMqQK6l_2ZC-ZTT2BcKQ6WVqOBdOtHAJOJ9cvrXMIaIuGSFqVzG8uPFl2SygWLApeagXDewU6Pk1dNJhblENVoy_rqyoAXESNUELMRzOCoN9cRB6wuyIlPj5cU1-C3stG4f02YzfyJ5AcSrLEYWLqR3hfojQpMdAuDb5XxeXJ6Q-0EJTyAN08GE5IU7v-fDrD_q-Vag1rwTbBavWRcsShwa_HGaTwIgGWIRKUZFpYTAm1NA4_5an7HedeBYOvsLvMBoSrxg0BzVjFxR_dKN7f2E-sehvRtvEykg" TargetMode="External"/><Relationship Id="rId81" Type="http://schemas.openxmlformats.org/officeDocument/2006/relationships/hyperlink" Target="https://www.snapeda.com/parts/BME680/Bosch%20Sensortec/datasheet/" TargetMode="External"/><Relationship Id="rId86" Type="http://schemas.openxmlformats.org/officeDocument/2006/relationships/hyperlink" Target="https://ro.mouser.com/datasheet/2/268/MCP73831_Family_Data_Sheet_DS20001984H-3441711.pdf" TargetMode="External"/><Relationship Id="rId4" Type="http://schemas.openxmlformats.org/officeDocument/2006/relationships/hyperlink" Target="https://www.snapeda.com/parts/CPH3225A/Seiko+Instruments/view-part/?ref=snap" TargetMode="External"/><Relationship Id="rId9" Type="http://schemas.openxmlformats.org/officeDocument/2006/relationships/hyperlink" Target="https://eu.mouser.com/ProductDetail/KYOCERA-AVX/SD0805S020S1R0?qs=jCA%252BPfw4LHbpkAoSnwrdjw%3D%3D" TargetMode="External"/><Relationship Id="rId13" Type="http://schemas.openxmlformats.org/officeDocument/2006/relationships/hyperlink" Target="https://www.snapeda.com/parts/MBR0530/Onsemi/view-part/?ref=eda" TargetMode="External"/><Relationship Id="rId18" Type="http://schemas.openxmlformats.org/officeDocument/2006/relationships/hyperlink" Target="https://www.snapeda.com/parts/PGB1010603MR/Littelfuse/view-part/?ref=snap" TargetMode="External"/><Relationship Id="rId39" Type="http://schemas.openxmlformats.org/officeDocument/2006/relationships/hyperlink" Target="https://eu.mouser.com/ProductDetail/Adafruit/4208?qs=PzGy0jfpSMtbScLbr0L5dw%3D%3D" TargetMode="External"/><Relationship Id="rId34" Type="http://schemas.openxmlformats.org/officeDocument/2006/relationships/hyperlink" Target="https://www.mouser.co.uk/ProductDetail/Torex-Semiconductor/XC6220A331MR-G?qs=AsjdqWjXhJ8ZSWznL1J0gg%3D%3D" TargetMode="External"/><Relationship Id="rId50" Type="http://schemas.openxmlformats.org/officeDocument/2006/relationships/hyperlink" Target="https://www.snapeda.com/parts/W25Q512JVEIQ/Winbond+Electronics/view-part/?ref=eda" TargetMode="External"/><Relationship Id="rId55" Type="http://schemas.openxmlformats.org/officeDocument/2006/relationships/hyperlink" Target="https://www.snapeda.com/parts/DS3231SN%23/Analog+Devices/view-part/?ref=snap" TargetMode="External"/><Relationship Id="rId76" Type="http://schemas.openxmlformats.org/officeDocument/2006/relationships/hyperlink" Target="https://store.comet.bg/download-file.php?id=8824" TargetMode="External"/><Relationship Id="rId7" Type="http://schemas.openxmlformats.org/officeDocument/2006/relationships/hyperlink" Target="https://www.snapeda.com/parts/USBLC6-2SC6Y/STMicroelectronics/view-part/?ref=eda" TargetMode="External"/><Relationship Id="rId71" Type="http://schemas.openxmlformats.org/officeDocument/2006/relationships/hyperlink" Target="https://www.snapeda.com/parts/PGB1010603MR/Littelfuse%20Inc./datasheet/" TargetMode="External"/><Relationship Id="rId2" Type="http://schemas.openxmlformats.org/officeDocument/2006/relationships/hyperlink" Target="https://componentsearchengine.com/part-view/CC0402MRX5R5BB106/YAGEO" TargetMode="External"/><Relationship Id="rId29" Type="http://schemas.openxmlformats.org/officeDocument/2006/relationships/hyperlink" Target="https://www.snapeda.com/parts/PGB1010603MR/Littelfuse/view-part/?ref=eda" TargetMode="External"/><Relationship Id="rId24" Type="http://schemas.openxmlformats.org/officeDocument/2006/relationships/hyperlink" Target="https://www.snapeda.com/parts/PGB1010603MR/Littelfuse/view-part/?ref=snap" TargetMode="External"/><Relationship Id="rId40" Type="http://schemas.openxmlformats.org/officeDocument/2006/relationships/hyperlink" Target="https://store.comet.srl.ro/Catalogue/Product/43497/" TargetMode="External"/><Relationship Id="rId45" Type="http://schemas.openxmlformats.org/officeDocument/2006/relationships/hyperlink" Target="https://componentsearchengine.com/part-view/SI1308EDL-T1-GE3/Vishay" TargetMode="External"/><Relationship Id="rId66" Type="http://schemas.openxmlformats.org/officeDocument/2006/relationships/hyperlink" Target="https://ro.mouser.com/datasheet/2/40/schottky-3165252.pdf" TargetMode="External"/><Relationship Id="rId87" Type="http://schemas.openxmlformats.org/officeDocument/2006/relationships/hyperlink" Target="https://grabcad.com/library/solder-jumpers-1" TargetMode="External"/><Relationship Id="rId61" Type="http://schemas.openxmlformats.org/officeDocument/2006/relationships/hyperlink" Target="https://ro.mouser.com/datasheet/2/40/F91_AJ6-3162641.pdf" TargetMode="External"/><Relationship Id="rId82" Type="http://schemas.openxmlformats.org/officeDocument/2006/relationships/hyperlink" Target="https://www.snapeda.com/parts/W25Q512JVEIQ/Winbond%20Electronics/datasheet/"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mouser.co.uk/ProductDetail/GCT/USB4110-GF-A?qs=KUoIvG%2F9IlYiZvIXQjyJeA%3D%3D" TargetMode="External"/><Relationship Id="rId18" Type="http://schemas.openxmlformats.org/officeDocument/2006/relationships/hyperlink" Target="https://componentsearchengine.com/part-view/BD5229G-TR/ROHM%20Semiconductor" TargetMode="External"/><Relationship Id="rId26" Type="http://schemas.openxmlformats.org/officeDocument/2006/relationships/hyperlink" Target="https://componentsearchengine.com/part-view/SI1308EDL-T1-GE3/Vishay" TargetMode="External"/><Relationship Id="rId3" Type="http://schemas.openxmlformats.org/officeDocument/2006/relationships/hyperlink" Target="https://componentsearchengine.com/part-view/CC0402MRX5R5BB106/YAGEO" TargetMode="External"/><Relationship Id="rId21" Type="http://schemas.openxmlformats.org/officeDocument/2006/relationships/hyperlink" Target="https://eu.mouser.com/ProductDetail/Adafruit/4208?qs=PzGy0jfpSMtbScLbr0L5dw%3D%3D" TargetMode="External"/><Relationship Id="rId7" Type="http://schemas.openxmlformats.org/officeDocument/2006/relationships/hyperlink" Target="https://www.digikey.com/en/products/detail/abracon-llc/AMCV-1812H-180-T/4245629" TargetMode="External"/><Relationship Id="rId12" Type="http://schemas.openxmlformats.org/officeDocument/2006/relationships/hyperlink" Target="https://www.snapeda.com/parts/CPH3225A/Seiko+Instruments/view-part/?ref=eda" TargetMode="External"/><Relationship Id="rId17" Type="http://schemas.openxmlformats.org/officeDocument/2006/relationships/hyperlink" Target="https://www.snapeda.com/parts/PGB1010603MR/Littelfuse/view-part/?ref=eda" TargetMode="External"/><Relationship Id="rId25" Type="http://schemas.openxmlformats.org/officeDocument/2006/relationships/hyperlink" Target="https://componentsearchengine.com/part-view/DMG2305UX-7/Diodes%20Incorporated" TargetMode="External"/><Relationship Id="rId33" Type="http://schemas.openxmlformats.org/officeDocument/2006/relationships/hyperlink" Target="https://eu.mouser.com/ProductDetail/Microchip-Technology/MCP73831T-2ACI-OT?qs=yUQqVecv4qvbBQBGbHx0Mw%3D%3Dcf" TargetMode="External"/><Relationship Id="rId2" Type="http://schemas.openxmlformats.org/officeDocument/2006/relationships/hyperlink" Target="https://www.snapeda.com/parts/CPH3225A/Seiko+Instruments/view-part/?ref=eda" TargetMode="External"/><Relationship Id="rId16" Type="http://schemas.openxmlformats.org/officeDocument/2006/relationships/hyperlink" Target="https://www.snapeda.com/parts/MBR0530/Onsemi/view-part/?ref=eda" TargetMode="External"/><Relationship Id="rId20" Type="http://schemas.openxmlformats.org/officeDocument/2006/relationships/hyperlink" Target="https://componentsearchengine.com/part-view/USB4110-GF-A/GCT%20(GLOBAL%20CONNECTOR%20TECHNOLOGY)" TargetMode="External"/><Relationship Id="rId29" Type="http://schemas.openxmlformats.org/officeDocument/2006/relationships/hyperlink" Target="https://www.snapeda.com/parts/W25Q512JVEIQ/Winbond+Electronics/view-part/?ref=eda" TargetMode="External"/><Relationship Id="rId1" Type="http://schemas.openxmlformats.org/officeDocument/2006/relationships/hyperlink" Target="https://industry.panasonic.com/global/en/products/control/switch/light-touch/number/evqpuj02k" TargetMode="External"/><Relationship Id="rId6" Type="http://schemas.openxmlformats.org/officeDocument/2006/relationships/hyperlink" Target="https://www.snapeda.com/parts/USBLC6-2SC6Y/STMicroelectronics/view-part/?ref=eda" TargetMode="External"/><Relationship Id="rId11" Type="http://schemas.openxmlformats.org/officeDocument/2006/relationships/hyperlink" Target="https://www.snapeda.com/parts/MBR0530/Onsemi/view-part/?ref=snap" TargetMode="External"/><Relationship Id="rId24" Type="http://schemas.openxmlformats.org/officeDocument/2006/relationships/hyperlink" Target="https://www.mouser.co.uk/ProductDetail/EPCOS-TDK/B72520T0350K062?qs=dEfas%2FXlABIszF52uu7vrg%3D%3D" TargetMode="External"/><Relationship Id="rId32" Type="http://schemas.openxmlformats.org/officeDocument/2006/relationships/hyperlink" Target="https://www.snapeda.com/parts/MAX17048G+T10/Analog+Devices/view-part/?ref=eda" TargetMode="External"/><Relationship Id="rId5" Type="http://schemas.openxmlformats.org/officeDocument/2006/relationships/hyperlink" Target="https://www.mouser.co.uk/ProductDetail/ROHM-Semiconductor/BD5229G-TR?qs=4kLU8WoGk0vvnhrrYwdszw%3D%3D" TargetMode="External"/><Relationship Id="rId15" Type="http://schemas.openxmlformats.org/officeDocument/2006/relationships/hyperlink" Target="https://eu.mouser.com/ProductDetail/KYOCERA-AVX/SD0805S020S1R0?qs=jCA%252BPfw4LHbpkAoSnwrdjw%3D%3D" TargetMode="External"/><Relationship Id="rId23" Type="http://schemas.openxmlformats.org/officeDocument/2006/relationships/hyperlink" Target="https://eu.mouser.com/ProductDetail/Wurth-Elektronik/744043680?qs=PGXP4M47uW6VkZq%252BkzjrHA%3D%3D" TargetMode="External"/><Relationship Id="rId28" Type="http://schemas.openxmlformats.org/officeDocument/2006/relationships/hyperlink" Target="https://www.snapeda.com/parts/BME680/Bosch/view-part/?welcome=home" TargetMode="External"/><Relationship Id="rId10" Type="http://schemas.openxmlformats.org/officeDocument/2006/relationships/hyperlink" Target="https://www.mouser.co.uk/ProductDetail/Hirose-Connector/FH34SRJ-24S-0.5SH99?qs=vcbW%252B4%252BSTIpKBl5ap9J8Fw%3D%3D" TargetMode="External"/><Relationship Id="rId19" Type="http://schemas.openxmlformats.org/officeDocument/2006/relationships/hyperlink" Target="https://componentsearchengine.com/part-view/XC6220A331MR-G/Torex" TargetMode="External"/><Relationship Id="rId31" Type="http://schemas.openxmlformats.org/officeDocument/2006/relationships/hyperlink" Target="https://www.snapeda.com/parts/DS3231SN%23/Analog+Devices/view-part/?ref=eda" TargetMode="External"/><Relationship Id="rId4" Type="http://schemas.openxmlformats.org/officeDocument/2006/relationships/hyperlink" Target="http://datasheets.avx.com/schottky.pdf" TargetMode="External"/><Relationship Id="rId9" Type="http://schemas.openxmlformats.org/officeDocument/2006/relationships/hyperlink" Target="https://www.mouser.co.uk/ProductDetail/Torex-Semiconductor/XC6220A331MR-G?qs=AsjdqWjXhJ8ZSWznL1J0gg%3D%3D" TargetMode="External"/><Relationship Id="rId14" Type="http://schemas.openxmlformats.org/officeDocument/2006/relationships/hyperlink" Target="https://www.snapeda.com/parts/USBLC6-2SC6Y/STMicroelectronics/view-part/?ref=eda" TargetMode="External"/><Relationship Id="rId22" Type="http://schemas.openxmlformats.org/officeDocument/2006/relationships/hyperlink" Target="https://store.comet.srl.ro/Catalogue/Product/43497/" TargetMode="External"/><Relationship Id="rId27" Type="http://schemas.openxmlformats.org/officeDocument/2006/relationships/hyperlink" Target="https://componentsearchengine.com/part-view/R0402%201%25%20100%20K%20(RC0402FR-07100KL)/YAGEO" TargetMode="External"/><Relationship Id="rId30" Type="http://schemas.openxmlformats.org/officeDocument/2006/relationships/hyperlink" Target="https://www.snapeda.com/parts/ESP32-C6-WROOM-1-N8/Espressif+Systems/view-part/?ref=eda" TargetMode="External"/><Relationship Id="rId8" Type="http://schemas.openxmlformats.org/officeDocument/2006/relationships/hyperlink" Target="https://www.mouser.co.uk/ProductDetail/EPCOS-TDK/B72520T0350K062?qs=dEfas%2FXlABIszF52uu7vrg%3D%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P104"/>
  <sheetViews>
    <sheetView tabSelected="1" workbookViewId="0">
      <pane ySplit="1" topLeftCell="A62" activePane="bottomLeft" state="frozen"/>
      <selection pane="bottomLeft" activeCell="K85" sqref="K85"/>
    </sheetView>
  </sheetViews>
  <sheetFormatPr defaultColWidth="12.6640625" defaultRowHeight="15.75" customHeight="1" x14ac:dyDescent="0.25"/>
  <cols>
    <col min="3" max="3" width="13.21875" customWidth="1"/>
    <col min="4" max="4" width="12.77734375" customWidth="1"/>
    <col min="9" max="9" width="11.88671875" customWidth="1"/>
  </cols>
  <sheetData>
    <row r="1" spans="1:42" ht="38.4" customHeight="1" x14ac:dyDescent="0.25">
      <c r="A1" s="1" t="s">
        <v>375</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row>
    <row r="2" spans="1:42" ht="84" customHeight="1" x14ac:dyDescent="0.25">
      <c r="A2" s="1" t="s">
        <v>41</v>
      </c>
      <c r="B2" s="1" t="s">
        <v>42</v>
      </c>
      <c r="C2" s="1" t="s">
        <v>42</v>
      </c>
      <c r="D2" s="1" t="s">
        <v>43</v>
      </c>
      <c r="E2" s="1"/>
      <c r="F2" s="1"/>
      <c r="G2" s="1"/>
      <c r="H2" s="1"/>
      <c r="I2" s="1"/>
      <c r="J2" s="2" t="s">
        <v>44</v>
      </c>
      <c r="K2" s="1"/>
      <c r="L2" s="20" t="s">
        <v>378</v>
      </c>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170.4" customHeight="1" x14ac:dyDescent="0.25">
      <c r="A3" s="1" t="s">
        <v>45</v>
      </c>
      <c r="B3" s="1" t="s">
        <v>46</v>
      </c>
      <c r="C3" s="1" t="s">
        <v>47</v>
      </c>
      <c r="D3" s="1" t="s">
        <v>48</v>
      </c>
      <c r="E3" s="1" t="s">
        <v>49</v>
      </c>
      <c r="F3" s="1"/>
      <c r="G3" s="1"/>
      <c r="H3" s="1"/>
      <c r="I3" s="1"/>
      <c r="J3" s="2" t="s">
        <v>50</v>
      </c>
      <c r="K3" s="1"/>
      <c r="L3" s="1" t="s">
        <v>379</v>
      </c>
      <c r="M3" s="1"/>
      <c r="N3" s="1"/>
      <c r="O3" s="1"/>
      <c r="P3" s="1"/>
      <c r="Q3" s="1"/>
      <c r="R3" s="1"/>
      <c r="S3" s="1"/>
      <c r="T3" s="1"/>
      <c r="U3" s="1"/>
      <c r="V3" s="1"/>
      <c r="W3" s="1"/>
      <c r="X3" s="1"/>
      <c r="Y3" s="1"/>
      <c r="Z3" s="1"/>
      <c r="AA3" s="1"/>
      <c r="AB3" s="1"/>
      <c r="AC3" s="1"/>
      <c r="AD3" s="1"/>
      <c r="AE3" s="1"/>
      <c r="AF3" s="1"/>
      <c r="AG3" s="1"/>
      <c r="AH3" s="1"/>
      <c r="AI3" s="1"/>
      <c r="AJ3" s="1"/>
      <c r="AK3" s="1" t="s">
        <v>51</v>
      </c>
      <c r="AL3" s="1" t="s">
        <v>52</v>
      </c>
      <c r="AM3" s="1"/>
      <c r="AN3" s="1"/>
      <c r="AO3" s="1"/>
      <c r="AP3" s="1"/>
    </row>
    <row r="4" spans="1:42" x14ac:dyDescent="0.25">
      <c r="A4" s="1" t="s">
        <v>53</v>
      </c>
      <c r="B4" s="1" t="s">
        <v>54</v>
      </c>
      <c r="C4" s="1" t="s">
        <v>47</v>
      </c>
      <c r="D4" s="1" t="s">
        <v>48</v>
      </c>
      <c r="E4" s="1" t="s">
        <v>49</v>
      </c>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t="s">
        <v>51</v>
      </c>
      <c r="AL4" s="1" t="s">
        <v>52</v>
      </c>
      <c r="AM4" s="1"/>
      <c r="AN4" s="1"/>
      <c r="AO4" s="1"/>
      <c r="AP4" s="1"/>
    </row>
    <row r="5" spans="1:42" x14ac:dyDescent="0.25">
      <c r="A5" s="1" t="s">
        <v>55</v>
      </c>
      <c r="B5" s="1" t="s">
        <v>54</v>
      </c>
      <c r="C5" s="1" t="s">
        <v>56</v>
      </c>
      <c r="D5" s="1" t="s">
        <v>57</v>
      </c>
      <c r="E5" s="1" t="s">
        <v>49</v>
      </c>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t="s">
        <v>51</v>
      </c>
      <c r="AL5" s="1" t="s">
        <v>52</v>
      </c>
      <c r="AM5" s="1"/>
      <c r="AN5" s="1"/>
      <c r="AO5" s="1"/>
      <c r="AP5" s="1"/>
    </row>
    <row r="6" spans="1:42" x14ac:dyDescent="0.25">
      <c r="A6" s="1" t="s">
        <v>58</v>
      </c>
      <c r="B6" s="1" t="s">
        <v>54</v>
      </c>
      <c r="C6" s="1" t="s">
        <v>56</v>
      </c>
      <c r="D6" s="1" t="s">
        <v>57</v>
      </c>
      <c r="E6" s="1" t="s">
        <v>49</v>
      </c>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t="s">
        <v>51</v>
      </c>
      <c r="AL6" s="1" t="s">
        <v>52</v>
      </c>
      <c r="AM6" s="1"/>
      <c r="AN6" s="1"/>
      <c r="AO6" s="1"/>
      <c r="AP6" s="1"/>
    </row>
    <row r="7" spans="1:42" x14ac:dyDescent="0.25">
      <c r="A7" s="1" t="s">
        <v>59</v>
      </c>
      <c r="B7" s="1" t="s">
        <v>46</v>
      </c>
      <c r="C7" s="1" t="s">
        <v>47</v>
      </c>
      <c r="D7" s="1" t="s">
        <v>48</v>
      </c>
      <c r="E7" s="1" t="s">
        <v>49</v>
      </c>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t="s">
        <v>51</v>
      </c>
      <c r="AL7" s="1" t="s">
        <v>52</v>
      </c>
      <c r="AM7" s="1"/>
      <c r="AN7" s="1"/>
      <c r="AO7" s="1"/>
      <c r="AP7" s="1"/>
    </row>
    <row r="8" spans="1:42" x14ac:dyDescent="0.25">
      <c r="A8" s="1" t="s">
        <v>60</v>
      </c>
      <c r="B8" s="1" t="s">
        <v>54</v>
      </c>
      <c r="C8" s="1" t="s">
        <v>47</v>
      </c>
      <c r="D8" s="1" t="s">
        <v>48</v>
      </c>
      <c r="E8" s="1" t="s">
        <v>49</v>
      </c>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t="s">
        <v>51</v>
      </c>
      <c r="AL8" s="1" t="s">
        <v>52</v>
      </c>
      <c r="AM8" s="1"/>
      <c r="AN8" s="1"/>
      <c r="AO8" s="1"/>
      <c r="AP8" s="1"/>
    </row>
    <row r="9" spans="1:42" ht="132" x14ac:dyDescent="0.25">
      <c r="A9" s="1" t="s">
        <v>61</v>
      </c>
      <c r="B9" s="1" t="s">
        <v>62</v>
      </c>
      <c r="C9" s="1" t="s">
        <v>63</v>
      </c>
      <c r="D9" s="1" t="s">
        <v>64</v>
      </c>
      <c r="E9" s="1" t="s">
        <v>65</v>
      </c>
      <c r="F9" s="1"/>
      <c r="G9" s="1"/>
      <c r="H9" s="1"/>
      <c r="I9" s="1"/>
      <c r="J9" s="19" t="s">
        <v>377</v>
      </c>
      <c r="K9" s="1"/>
      <c r="L9" s="20" t="s">
        <v>380</v>
      </c>
      <c r="M9" s="1"/>
      <c r="N9" s="1"/>
      <c r="O9" s="1"/>
      <c r="P9" s="1"/>
      <c r="Q9" s="1"/>
      <c r="R9" s="1"/>
      <c r="S9" s="1"/>
      <c r="T9" s="1"/>
      <c r="U9" s="1"/>
      <c r="V9" s="1"/>
      <c r="W9" s="1"/>
      <c r="X9" s="1"/>
      <c r="Y9" s="1"/>
      <c r="Z9" s="1"/>
      <c r="AA9" s="1"/>
      <c r="AB9" s="1"/>
      <c r="AC9" s="1"/>
      <c r="AD9" s="1">
        <v>0</v>
      </c>
      <c r="AE9" s="1"/>
      <c r="AF9" s="1"/>
      <c r="AG9" s="1"/>
      <c r="AH9" s="1"/>
      <c r="AI9" s="1"/>
      <c r="AJ9" s="1"/>
      <c r="AK9" s="1"/>
      <c r="AL9" s="1" t="s">
        <v>52</v>
      </c>
      <c r="AM9" s="1"/>
      <c r="AN9" s="1"/>
      <c r="AO9" s="1"/>
      <c r="AP9" s="1"/>
    </row>
    <row r="10" spans="1:42" x14ac:dyDescent="0.25">
      <c r="A10" s="1" t="s">
        <v>66</v>
      </c>
      <c r="B10" s="1" t="s">
        <v>67</v>
      </c>
      <c r="C10" s="1" t="s">
        <v>47</v>
      </c>
      <c r="D10" s="1" t="s">
        <v>48</v>
      </c>
      <c r="E10" s="1" t="s">
        <v>49</v>
      </c>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t="s">
        <v>51</v>
      </c>
      <c r="AL10" s="1" t="s">
        <v>52</v>
      </c>
      <c r="AM10" s="1"/>
      <c r="AN10" s="1"/>
      <c r="AO10" s="1"/>
      <c r="AP10" s="1"/>
    </row>
    <row r="11" spans="1:42" x14ac:dyDescent="0.25">
      <c r="A11" s="1" t="s">
        <v>68</v>
      </c>
      <c r="B11" s="1" t="s">
        <v>46</v>
      </c>
      <c r="C11" s="1" t="s">
        <v>47</v>
      </c>
      <c r="D11" s="1" t="s">
        <v>48</v>
      </c>
      <c r="E11" s="1" t="s">
        <v>49</v>
      </c>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t="s">
        <v>51</v>
      </c>
      <c r="AL11" s="1" t="s">
        <v>52</v>
      </c>
      <c r="AM11" s="1"/>
      <c r="AN11" s="1"/>
      <c r="AO11" s="1"/>
      <c r="AP11" s="1"/>
    </row>
    <row r="12" spans="1:42" x14ac:dyDescent="0.25">
      <c r="A12" s="1" t="s">
        <v>69</v>
      </c>
      <c r="B12" s="1" t="s">
        <v>70</v>
      </c>
      <c r="C12" s="1" t="s">
        <v>47</v>
      </c>
      <c r="D12" s="1" t="s">
        <v>48</v>
      </c>
      <c r="E12" s="1" t="s">
        <v>49</v>
      </c>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t="s">
        <v>51</v>
      </c>
      <c r="AL12" s="1" t="s">
        <v>52</v>
      </c>
      <c r="AM12" s="1"/>
      <c r="AN12" s="1"/>
      <c r="AO12" s="1"/>
      <c r="AP12" s="1"/>
    </row>
    <row r="13" spans="1:42" x14ac:dyDescent="0.25">
      <c r="A13" s="1" t="s">
        <v>71</v>
      </c>
      <c r="B13" s="1" t="s">
        <v>72</v>
      </c>
      <c r="C13" s="1" t="s">
        <v>47</v>
      </c>
      <c r="D13" s="1" t="s">
        <v>48</v>
      </c>
      <c r="E13" s="1" t="s">
        <v>49</v>
      </c>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t="s">
        <v>51</v>
      </c>
      <c r="AL13" s="1" t="s">
        <v>52</v>
      </c>
      <c r="AM13" s="1"/>
      <c r="AN13" s="1"/>
      <c r="AO13" s="1"/>
      <c r="AP13" s="1"/>
    </row>
    <row r="14" spans="1:42" x14ac:dyDescent="0.25">
      <c r="A14" s="1" t="s">
        <v>73</v>
      </c>
      <c r="B14" s="1" t="s">
        <v>46</v>
      </c>
      <c r="C14" s="1" t="s">
        <v>47</v>
      </c>
      <c r="D14" s="1" t="s">
        <v>48</v>
      </c>
      <c r="E14" s="1" t="s">
        <v>49</v>
      </c>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t="s">
        <v>51</v>
      </c>
      <c r="AL14" s="1" t="s">
        <v>52</v>
      </c>
      <c r="AM14" s="1"/>
      <c r="AN14" s="1"/>
      <c r="AO14" s="1"/>
      <c r="AP14" s="1"/>
    </row>
    <row r="15" spans="1:42" x14ac:dyDescent="0.25">
      <c r="A15" s="1" t="s">
        <v>74</v>
      </c>
      <c r="B15" s="1" t="s">
        <v>75</v>
      </c>
      <c r="C15" s="1" t="s">
        <v>47</v>
      </c>
      <c r="D15" s="1" t="s">
        <v>48</v>
      </c>
      <c r="E15" s="1" t="s">
        <v>49</v>
      </c>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t="s">
        <v>51</v>
      </c>
      <c r="AL15" s="1" t="s">
        <v>52</v>
      </c>
      <c r="AM15" s="1"/>
      <c r="AN15" s="1"/>
      <c r="AO15" s="1"/>
      <c r="AP15" s="1"/>
    </row>
    <row r="16" spans="1:42" x14ac:dyDescent="0.25">
      <c r="A16" s="1" t="s">
        <v>76</v>
      </c>
      <c r="B16" s="1" t="s">
        <v>46</v>
      </c>
      <c r="C16" s="1" t="s">
        <v>47</v>
      </c>
      <c r="D16" s="1" t="s">
        <v>48</v>
      </c>
      <c r="E16" s="1" t="s">
        <v>49</v>
      </c>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t="s">
        <v>51</v>
      </c>
      <c r="AL16" s="1" t="s">
        <v>52</v>
      </c>
      <c r="AM16" s="1"/>
      <c r="AN16" s="1"/>
      <c r="AO16" s="1"/>
      <c r="AP16" s="1"/>
    </row>
    <row r="17" spans="1:42" x14ac:dyDescent="0.25">
      <c r="A17" s="1" t="s">
        <v>77</v>
      </c>
      <c r="B17" s="1" t="s">
        <v>46</v>
      </c>
      <c r="C17" s="1" t="s">
        <v>56</v>
      </c>
      <c r="D17" s="1" t="s">
        <v>57</v>
      </c>
      <c r="E17" s="1" t="s">
        <v>49</v>
      </c>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t="s">
        <v>51</v>
      </c>
      <c r="AL17" s="1" t="s">
        <v>52</v>
      </c>
      <c r="AM17" s="1"/>
      <c r="AN17" s="1"/>
      <c r="AO17" s="1"/>
      <c r="AP17" s="1"/>
    </row>
    <row r="18" spans="1:42" x14ac:dyDescent="0.25">
      <c r="A18" s="1" t="s">
        <v>78</v>
      </c>
      <c r="B18" s="1" t="s">
        <v>46</v>
      </c>
      <c r="C18" s="1" t="s">
        <v>47</v>
      </c>
      <c r="D18" s="1" t="s">
        <v>48</v>
      </c>
      <c r="E18" s="1" t="s">
        <v>49</v>
      </c>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t="s">
        <v>51</v>
      </c>
      <c r="AL18" s="1" t="s">
        <v>52</v>
      </c>
      <c r="AM18" s="1"/>
      <c r="AN18" s="1"/>
      <c r="AO18" s="1"/>
      <c r="AP18" s="1"/>
    </row>
    <row r="19" spans="1:42" ht="151.19999999999999" customHeight="1" x14ac:dyDescent="0.25">
      <c r="A19" s="1" t="s">
        <v>79</v>
      </c>
      <c r="B19" s="1" t="s">
        <v>80</v>
      </c>
      <c r="C19" s="1" t="s">
        <v>80</v>
      </c>
      <c r="D19" s="1" t="s">
        <v>81</v>
      </c>
      <c r="E19" s="1" t="s">
        <v>82</v>
      </c>
      <c r="F19" s="1"/>
      <c r="G19" s="1"/>
      <c r="H19" s="1" t="s">
        <v>83</v>
      </c>
      <c r="I19" s="1"/>
      <c r="J19" s="3" t="s">
        <v>84</v>
      </c>
      <c r="K19" s="1"/>
      <c r="L19" s="20" t="s">
        <v>381</v>
      </c>
      <c r="M19" s="1" t="s">
        <v>85</v>
      </c>
      <c r="N19" s="1"/>
      <c r="O19" s="1"/>
      <c r="P19" s="1"/>
      <c r="Q19" s="1"/>
      <c r="R19" s="1"/>
      <c r="S19" s="1"/>
      <c r="T19" s="1" t="s">
        <v>86</v>
      </c>
      <c r="U19" s="1"/>
      <c r="V19" s="1"/>
      <c r="W19" s="1"/>
      <c r="X19" s="1"/>
      <c r="Y19" s="1"/>
      <c r="Z19" s="1" t="s">
        <v>80</v>
      </c>
      <c r="AA19" s="1"/>
      <c r="AB19" s="1" t="s">
        <v>87</v>
      </c>
      <c r="AC19" s="1"/>
      <c r="AD19" s="1"/>
      <c r="AE19" s="1"/>
      <c r="AF19" s="1" t="s">
        <v>88</v>
      </c>
      <c r="AG19" s="1"/>
      <c r="AH19" s="1" t="s">
        <v>89</v>
      </c>
      <c r="AI19" s="1"/>
      <c r="AJ19" s="4" t="s">
        <v>90</v>
      </c>
      <c r="AK19" s="1"/>
      <c r="AL19" s="1"/>
      <c r="AM19" s="1"/>
      <c r="AN19" s="1"/>
      <c r="AO19" s="1"/>
      <c r="AP19" s="1"/>
    </row>
    <row r="20" spans="1:42" ht="178.8" customHeight="1" x14ac:dyDescent="0.25">
      <c r="A20" s="1" t="s">
        <v>91</v>
      </c>
      <c r="B20" s="1" t="s">
        <v>42</v>
      </c>
      <c r="C20" s="1" t="s">
        <v>42</v>
      </c>
      <c r="D20" s="1" t="s">
        <v>43</v>
      </c>
      <c r="E20" s="1"/>
      <c r="F20" s="1"/>
      <c r="G20" s="1"/>
      <c r="H20" s="1"/>
      <c r="I20" s="1"/>
      <c r="J20" s="2" t="s">
        <v>44</v>
      </c>
      <c r="K20" s="1"/>
      <c r="L20" s="20" t="s">
        <v>378</v>
      </c>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row>
    <row r="21" spans="1:42" ht="211.8" customHeight="1" x14ac:dyDescent="0.25">
      <c r="A21" s="1" t="s">
        <v>92</v>
      </c>
      <c r="B21" s="1"/>
      <c r="C21" s="1" t="s">
        <v>93</v>
      </c>
      <c r="D21" s="1" t="s">
        <v>94</v>
      </c>
      <c r="E21" s="1" t="s">
        <v>95</v>
      </c>
      <c r="F21" s="1"/>
      <c r="G21" s="1"/>
      <c r="H21" s="1"/>
      <c r="I21" s="1"/>
      <c r="J21" s="19" t="s">
        <v>382</v>
      </c>
      <c r="K21" s="1"/>
      <c r="L21" s="20" t="s">
        <v>383</v>
      </c>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row>
    <row r="22" spans="1:42" ht="111" customHeight="1" x14ac:dyDescent="0.25">
      <c r="A22" s="1" t="s">
        <v>96</v>
      </c>
      <c r="B22" s="1" t="s">
        <v>46</v>
      </c>
      <c r="C22" s="1" t="s">
        <v>47</v>
      </c>
      <c r="D22" s="1" t="s">
        <v>48</v>
      </c>
      <c r="E22" s="1" t="s">
        <v>49</v>
      </c>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t="s">
        <v>51</v>
      </c>
      <c r="AL22" s="1" t="s">
        <v>52</v>
      </c>
      <c r="AM22" s="1"/>
      <c r="AN22" s="1"/>
      <c r="AO22" s="1"/>
      <c r="AP22" s="1"/>
    </row>
    <row r="23" spans="1:42" ht="114" customHeight="1" x14ac:dyDescent="0.25">
      <c r="A23" s="1" t="s">
        <v>97</v>
      </c>
      <c r="B23" s="1" t="s">
        <v>98</v>
      </c>
      <c r="C23" s="1" t="s">
        <v>98</v>
      </c>
      <c r="D23" s="1" t="s">
        <v>99</v>
      </c>
      <c r="E23" s="1" t="s">
        <v>100</v>
      </c>
      <c r="F23" s="1"/>
      <c r="G23" s="1"/>
      <c r="H23" s="1" t="s">
        <v>101</v>
      </c>
      <c r="I23" s="1"/>
      <c r="J23" s="3" t="s">
        <v>102</v>
      </c>
      <c r="K23" s="1"/>
      <c r="L23" s="20" t="s">
        <v>384</v>
      </c>
      <c r="M23" s="1" t="s">
        <v>103</v>
      </c>
      <c r="N23" s="1"/>
      <c r="O23" s="1"/>
      <c r="P23" s="1"/>
      <c r="Q23" s="1"/>
      <c r="R23" s="1"/>
      <c r="S23" s="1"/>
      <c r="T23" s="1" t="s">
        <v>104</v>
      </c>
      <c r="U23" s="1"/>
      <c r="V23" s="1"/>
      <c r="W23" s="1"/>
      <c r="X23" s="1"/>
      <c r="Y23" s="1"/>
      <c r="Z23" s="1" t="s">
        <v>98</v>
      </c>
      <c r="AA23" s="1"/>
      <c r="AB23" s="1" t="s">
        <v>105</v>
      </c>
      <c r="AC23" s="1"/>
      <c r="AD23" s="1"/>
      <c r="AE23" s="1"/>
      <c r="AF23" s="1" t="s">
        <v>88</v>
      </c>
      <c r="AG23" s="1"/>
      <c r="AH23" s="1"/>
      <c r="AI23" s="1"/>
      <c r="AJ23" s="4" t="s">
        <v>106</v>
      </c>
      <c r="AK23" s="1"/>
      <c r="AL23" s="1"/>
      <c r="AM23" s="1"/>
      <c r="AN23" s="1"/>
      <c r="AO23" s="1"/>
      <c r="AP23" s="1"/>
    </row>
    <row r="24" spans="1:42" ht="159" customHeight="1" x14ac:dyDescent="0.25">
      <c r="A24" s="1" t="s">
        <v>107</v>
      </c>
      <c r="B24" s="1" t="s">
        <v>108</v>
      </c>
      <c r="C24" s="1" t="s">
        <v>108</v>
      </c>
      <c r="D24" s="1" t="s">
        <v>109</v>
      </c>
      <c r="E24" s="1" t="s">
        <v>110</v>
      </c>
      <c r="F24" s="1"/>
      <c r="G24" s="1"/>
      <c r="H24" s="1"/>
      <c r="I24" s="1" t="s">
        <v>111</v>
      </c>
      <c r="J24" s="3" t="s">
        <v>112</v>
      </c>
      <c r="K24" s="1"/>
      <c r="L24" s="4" t="s">
        <v>113</v>
      </c>
      <c r="M24" s="1"/>
      <c r="N24" s="1" t="s">
        <v>114</v>
      </c>
      <c r="O24" s="1" t="s">
        <v>115</v>
      </c>
      <c r="P24" s="1"/>
      <c r="Q24" s="1" t="s">
        <v>116</v>
      </c>
      <c r="R24" s="1"/>
      <c r="S24" s="1"/>
      <c r="T24" s="1" t="s">
        <v>117</v>
      </c>
      <c r="U24" s="1"/>
      <c r="V24" s="1" t="s">
        <v>118</v>
      </c>
      <c r="W24" s="1"/>
      <c r="X24" s="1"/>
      <c r="Y24" s="1"/>
      <c r="Z24" s="1"/>
      <c r="AA24" s="1"/>
      <c r="AB24" s="1" t="s">
        <v>119</v>
      </c>
      <c r="AC24" s="1"/>
      <c r="AD24" s="1"/>
      <c r="AE24" s="1" t="s">
        <v>120</v>
      </c>
      <c r="AF24" s="1"/>
      <c r="AG24" s="1"/>
      <c r="AH24" s="1"/>
      <c r="AI24" s="1" t="s">
        <v>116</v>
      </c>
      <c r="AJ24" s="1"/>
      <c r="AK24" s="1"/>
      <c r="AL24" s="1"/>
      <c r="AM24" s="1" t="s">
        <v>121</v>
      </c>
      <c r="AN24" s="1" t="s">
        <v>122</v>
      </c>
      <c r="AO24" s="1"/>
      <c r="AP24" s="1"/>
    </row>
    <row r="25" spans="1:42" ht="142.80000000000001" customHeight="1" x14ac:dyDescent="0.25">
      <c r="A25" s="1" t="s">
        <v>123</v>
      </c>
      <c r="B25" s="1" t="s">
        <v>124</v>
      </c>
      <c r="C25" s="1" t="s">
        <v>124</v>
      </c>
      <c r="D25" s="1" t="s">
        <v>125</v>
      </c>
      <c r="E25" s="1" t="s">
        <v>126</v>
      </c>
      <c r="F25" s="1"/>
      <c r="G25" s="1"/>
      <c r="H25" s="1" t="s">
        <v>101</v>
      </c>
      <c r="I25" s="1"/>
      <c r="J25" s="3" t="s">
        <v>112</v>
      </c>
      <c r="K25" s="1"/>
      <c r="L25" s="20" t="s">
        <v>385</v>
      </c>
      <c r="M25" s="1" t="s">
        <v>127</v>
      </c>
      <c r="N25" s="1"/>
      <c r="O25" s="1"/>
      <c r="P25" s="1"/>
      <c r="Q25" s="1"/>
      <c r="R25" s="1"/>
      <c r="S25" s="1"/>
      <c r="T25" s="1" t="s">
        <v>128</v>
      </c>
      <c r="U25" s="1"/>
      <c r="V25" s="1"/>
      <c r="W25" s="1"/>
      <c r="X25" s="1"/>
      <c r="Y25" s="1"/>
      <c r="Z25" s="1" t="s">
        <v>124</v>
      </c>
      <c r="AA25" s="1"/>
      <c r="AB25" s="1" t="s">
        <v>129</v>
      </c>
      <c r="AC25" s="1"/>
      <c r="AD25" s="1"/>
      <c r="AE25" s="1"/>
      <c r="AF25" s="1" t="s">
        <v>88</v>
      </c>
      <c r="AG25" s="1"/>
      <c r="AH25" s="1" t="s">
        <v>130</v>
      </c>
      <c r="AI25" s="1"/>
      <c r="AJ25" s="4" t="s">
        <v>131</v>
      </c>
      <c r="AK25" s="1"/>
      <c r="AL25" s="1"/>
      <c r="AM25" s="1"/>
      <c r="AN25" s="1"/>
      <c r="AO25" s="1"/>
      <c r="AP25" s="1"/>
    </row>
    <row r="26" spans="1:42" ht="102" customHeight="1" x14ac:dyDescent="0.25">
      <c r="A26" s="1" t="s">
        <v>132</v>
      </c>
      <c r="B26" s="1" t="s">
        <v>124</v>
      </c>
      <c r="C26" s="1" t="s">
        <v>124</v>
      </c>
      <c r="D26" s="1" t="s">
        <v>125</v>
      </c>
      <c r="E26" s="1" t="s">
        <v>126</v>
      </c>
      <c r="F26" s="1"/>
      <c r="G26" s="1"/>
      <c r="H26" s="1" t="s">
        <v>101</v>
      </c>
      <c r="I26" s="1"/>
      <c r="J26" s="3" t="s">
        <v>133</v>
      </c>
      <c r="K26" s="1"/>
      <c r="L26" s="20" t="s">
        <v>386</v>
      </c>
      <c r="M26" s="1" t="s">
        <v>127</v>
      </c>
      <c r="N26" s="1"/>
      <c r="O26" s="1"/>
      <c r="P26" s="1"/>
      <c r="Q26" s="1"/>
      <c r="R26" s="1"/>
      <c r="S26" s="1"/>
      <c r="T26" s="1" t="s">
        <v>128</v>
      </c>
      <c r="U26" s="1"/>
      <c r="V26" s="1"/>
      <c r="W26" s="1"/>
      <c r="X26" s="1"/>
      <c r="Y26" s="1"/>
      <c r="Z26" s="1" t="s">
        <v>124</v>
      </c>
      <c r="AA26" s="1"/>
      <c r="AB26" s="1" t="s">
        <v>129</v>
      </c>
      <c r="AC26" s="1"/>
      <c r="AD26" s="1"/>
      <c r="AE26" s="1"/>
      <c r="AF26" s="1" t="s">
        <v>88</v>
      </c>
      <c r="AG26" s="1"/>
      <c r="AH26" s="1" t="s">
        <v>130</v>
      </c>
      <c r="AI26" s="1"/>
      <c r="AJ26" s="4" t="s">
        <v>131</v>
      </c>
      <c r="AK26" s="1"/>
      <c r="AL26" s="1"/>
      <c r="AM26" s="1"/>
      <c r="AN26" s="1"/>
      <c r="AO26" s="1"/>
      <c r="AP26" s="1"/>
    </row>
    <row r="27" spans="1:42" ht="76.8" customHeight="1" x14ac:dyDescent="0.25">
      <c r="A27" s="1" t="s">
        <v>134</v>
      </c>
      <c r="B27" s="1" t="s">
        <v>124</v>
      </c>
      <c r="C27" s="1" t="s">
        <v>124</v>
      </c>
      <c r="D27" s="1" t="s">
        <v>125</v>
      </c>
      <c r="E27" s="1" t="s">
        <v>126</v>
      </c>
      <c r="F27" s="1"/>
      <c r="G27" s="1"/>
      <c r="H27" s="1" t="s">
        <v>101</v>
      </c>
      <c r="I27" s="1"/>
      <c r="J27" s="5" t="s">
        <v>133</v>
      </c>
      <c r="K27" s="1"/>
      <c r="L27" s="20" t="s">
        <v>386</v>
      </c>
      <c r="M27" s="1" t="s">
        <v>127</v>
      </c>
      <c r="N27" s="1"/>
      <c r="O27" s="1"/>
      <c r="P27" s="1"/>
      <c r="Q27" s="1"/>
      <c r="R27" s="1"/>
      <c r="S27" s="1"/>
      <c r="T27" s="1" t="s">
        <v>128</v>
      </c>
      <c r="U27" s="1"/>
      <c r="V27" s="1"/>
      <c r="W27" s="1"/>
      <c r="X27" s="1"/>
      <c r="Y27" s="1"/>
      <c r="Z27" s="1" t="s">
        <v>124</v>
      </c>
      <c r="AA27" s="1"/>
      <c r="AB27" s="1" t="s">
        <v>129</v>
      </c>
      <c r="AC27" s="1"/>
      <c r="AD27" s="1"/>
      <c r="AE27" s="1"/>
      <c r="AF27" s="1" t="s">
        <v>88</v>
      </c>
      <c r="AG27" s="1"/>
      <c r="AH27" s="1" t="s">
        <v>130</v>
      </c>
      <c r="AI27" s="1"/>
      <c r="AJ27" s="4" t="s">
        <v>131</v>
      </c>
      <c r="AK27" s="1"/>
      <c r="AL27" s="1"/>
      <c r="AM27" s="1"/>
      <c r="AN27" s="1"/>
      <c r="AO27" s="1"/>
      <c r="AP27" s="1"/>
    </row>
    <row r="28" spans="1:42" ht="71.400000000000006" customHeight="1" x14ac:dyDescent="0.25">
      <c r="A28" s="1" t="s">
        <v>135</v>
      </c>
      <c r="B28" s="1" t="s">
        <v>136</v>
      </c>
      <c r="C28" s="1" t="s">
        <v>136</v>
      </c>
      <c r="D28" s="1" t="s">
        <v>137</v>
      </c>
      <c r="E28" s="1" t="s">
        <v>138</v>
      </c>
      <c r="F28" s="1"/>
      <c r="G28" s="1"/>
      <c r="H28" s="1" t="s">
        <v>101</v>
      </c>
      <c r="I28" s="1"/>
      <c r="J28" s="6" t="s">
        <v>139</v>
      </c>
      <c r="K28" s="1"/>
      <c r="L28" s="20" t="s">
        <v>387</v>
      </c>
      <c r="M28" s="1" t="s">
        <v>140</v>
      </c>
      <c r="N28" s="1"/>
      <c r="O28" s="1"/>
      <c r="P28" s="1"/>
      <c r="Q28" s="1"/>
      <c r="R28" s="1"/>
      <c r="S28" s="1"/>
      <c r="T28" s="1" t="s">
        <v>141</v>
      </c>
      <c r="U28" s="1"/>
      <c r="V28" s="1"/>
      <c r="W28" s="1"/>
      <c r="X28" s="1"/>
      <c r="Y28" s="1"/>
      <c r="Z28" s="1" t="s">
        <v>136</v>
      </c>
      <c r="AA28" s="1"/>
      <c r="AB28" s="1" t="s">
        <v>142</v>
      </c>
      <c r="AC28" s="1"/>
      <c r="AD28" s="1"/>
      <c r="AE28" s="1"/>
      <c r="AF28" s="1" t="s">
        <v>88</v>
      </c>
      <c r="AG28" s="1"/>
      <c r="AH28" s="1" t="s">
        <v>143</v>
      </c>
      <c r="AI28" s="1"/>
      <c r="AJ28" s="4" t="s">
        <v>144</v>
      </c>
      <c r="AK28" s="1"/>
      <c r="AL28" s="1"/>
      <c r="AM28" s="1"/>
      <c r="AN28" s="1"/>
      <c r="AO28" s="1"/>
      <c r="AP28" s="1"/>
    </row>
    <row r="29" spans="1:42" ht="83.4" customHeight="1" x14ac:dyDescent="0.25">
      <c r="A29" s="1" t="s">
        <v>145</v>
      </c>
      <c r="B29" s="1" t="s">
        <v>108</v>
      </c>
      <c r="C29" s="1" t="s">
        <v>108</v>
      </c>
      <c r="D29" s="1" t="s">
        <v>109</v>
      </c>
      <c r="E29" s="1" t="s">
        <v>110</v>
      </c>
      <c r="F29" s="1"/>
      <c r="G29" s="1"/>
      <c r="H29" s="1"/>
      <c r="I29" s="1" t="s">
        <v>111</v>
      </c>
      <c r="J29" s="2" t="s">
        <v>112</v>
      </c>
      <c r="K29" s="1"/>
      <c r="L29" s="4" t="s">
        <v>113</v>
      </c>
      <c r="M29" s="1"/>
      <c r="N29" s="1" t="s">
        <v>114</v>
      </c>
      <c r="O29" s="1" t="s">
        <v>115</v>
      </c>
      <c r="P29" s="1"/>
      <c r="Q29" s="1" t="s">
        <v>116</v>
      </c>
      <c r="R29" s="1"/>
      <c r="S29" s="1"/>
      <c r="T29" s="1" t="s">
        <v>117</v>
      </c>
      <c r="U29" s="1"/>
      <c r="V29" s="1" t="s">
        <v>118</v>
      </c>
      <c r="W29" s="1"/>
      <c r="X29" s="1"/>
      <c r="Y29" s="1"/>
      <c r="Z29" s="1"/>
      <c r="AA29" s="1"/>
      <c r="AB29" s="1" t="s">
        <v>119</v>
      </c>
      <c r="AC29" s="1"/>
      <c r="AD29" s="1"/>
      <c r="AE29" s="1" t="s">
        <v>120</v>
      </c>
      <c r="AF29" s="1"/>
      <c r="AG29" s="1"/>
      <c r="AH29" s="1"/>
      <c r="AI29" s="1" t="s">
        <v>116</v>
      </c>
      <c r="AJ29" s="1"/>
      <c r="AK29" s="1"/>
      <c r="AL29" s="1"/>
      <c r="AM29" s="1" t="s">
        <v>121</v>
      </c>
      <c r="AN29" s="1" t="s">
        <v>122</v>
      </c>
      <c r="AO29" s="1"/>
      <c r="AP29" s="1"/>
    </row>
    <row r="30" spans="1:42" ht="93" customHeight="1" x14ac:dyDescent="0.25">
      <c r="A30" s="1" t="s">
        <v>146</v>
      </c>
      <c r="B30" s="1" t="s">
        <v>136</v>
      </c>
      <c r="C30" s="1" t="s">
        <v>136</v>
      </c>
      <c r="D30" s="1" t="s">
        <v>137</v>
      </c>
      <c r="E30" s="1" t="s">
        <v>138</v>
      </c>
      <c r="F30" s="1"/>
      <c r="G30" s="1"/>
      <c r="H30" s="1" t="s">
        <v>101</v>
      </c>
      <c r="I30" s="1"/>
      <c r="J30" s="3" t="s">
        <v>139</v>
      </c>
      <c r="K30" s="1"/>
      <c r="L30" s="20" t="s">
        <v>387</v>
      </c>
      <c r="M30" s="1" t="s">
        <v>140</v>
      </c>
      <c r="N30" s="1"/>
      <c r="O30" s="1"/>
      <c r="P30" s="1"/>
      <c r="Q30" s="1"/>
      <c r="R30" s="1"/>
      <c r="S30" s="1"/>
      <c r="T30" s="1" t="s">
        <v>141</v>
      </c>
      <c r="U30" s="1"/>
      <c r="V30" s="1"/>
      <c r="W30" s="1"/>
      <c r="X30" s="1"/>
      <c r="Y30" s="1"/>
      <c r="Z30" s="1" t="s">
        <v>136</v>
      </c>
      <c r="AA30" s="1"/>
      <c r="AB30" s="1" t="s">
        <v>142</v>
      </c>
      <c r="AC30" s="1"/>
      <c r="AD30" s="1"/>
      <c r="AE30" s="1"/>
      <c r="AF30" s="1" t="s">
        <v>88</v>
      </c>
      <c r="AG30" s="1"/>
      <c r="AH30" s="1" t="s">
        <v>143</v>
      </c>
      <c r="AI30" s="1"/>
      <c r="AJ30" s="4" t="s">
        <v>144</v>
      </c>
      <c r="AK30" s="1"/>
      <c r="AL30" s="1"/>
      <c r="AM30" s="1"/>
      <c r="AN30" s="1"/>
      <c r="AO30" s="1"/>
      <c r="AP30" s="1"/>
    </row>
    <row r="31" spans="1:42" ht="39.6" customHeight="1" x14ac:dyDescent="0.25">
      <c r="A31" s="1" t="s">
        <v>147</v>
      </c>
      <c r="B31" s="1" t="s">
        <v>136</v>
      </c>
      <c r="C31" s="1" t="s">
        <v>136</v>
      </c>
      <c r="D31" s="1" t="s">
        <v>137</v>
      </c>
      <c r="E31" s="1" t="s">
        <v>138</v>
      </c>
      <c r="F31" s="1"/>
      <c r="G31" s="1"/>
      <c r="H31" s="1" t="s">
        <v>101</v>
      </c>
      <c r="I31" s="1"/>
      <c r="J31" s="5" t="s">
        <v>139</v>
      </c>
      <c r="K31" s="1"/>
      <c r="L31" s="20" t="s">
        <v>387</v>
      </c>
      <c r="M31" s="1" t="s">
        <v>140</v>
      </c>
      <c r="N31" s="1"/>
      <c r="O31" s="1"/>
      <c r="P31" s="1"/>
      <c r="Q31" s="1"/>
      <c r="R31" s="1"/>
      <c r="S31" s="1"/>
      <c r="T31" s="1" t="s">
        <v>141</v>
      </c>
      <c r="U31" s="1"/>
      <c r="V31" s="1"/>
      <c r="W31" s="1"/>
      <c r="X31" s="1"/>
      <c r="Y31" s="1"/>
      <c r="Z31" s="1" t="s">
        <v>136</v>
      </c>
      <c r="AA31" s="1"/>
      <c r="AB31" s="1" t="s">
        <v>142</v>
      </c>
      <c r="AC31" s="1"/>
      <c r="AD31" s="1"/>
      <c r="AE31" s="1"/>
      <c r="AF31" s="1" t="s">
        <v>88</v>
      </c>
      <c r="AG31" s="1"/>
      <c r="AH31" s="1" t="s">
        <v>143</v>
      </c>
      <c r="AI31" s="1"/>
      <c r="AJ31" s="4" t="s">
        <v>144</v>
      </c>
      <c r="AK31" s="1"/>
      <c r="AL31" s="1"/>
      <c r="AM31" s="1"/>
      <c r="AN31" s="1"/>
      <c r="AO31" s="1"/>
      <c r="AP31" s="1"/>
    </row>
    <row r="32" spans="1:42" ht="87.6" customHeight="1" x14ac:dyDescent="0.25">
      <c r="A32" s="1" t="s">
        <v>148</v>
      </c>
      <c r="B32" s="1" t="s">
        <v>136</v>
      </c>
      <c r="C32" s="1" t="s">
        <v>136</v>
      </c>
      <c r="D32" s="1" t="s">
        <v>137</v>
      </c>
      <c r="E32" s="1" t="s">
        <v>138</v>
      </c>
      <c r="F32" s="1"/>
      <c r="G32" s="1"/>
      <c r="H32" s="1" t="s">
        <v>101</v>
      </c>
      <c r="I32" s="1"/>
      <c r="J32" s="5" t="s">
        <v>139</v>
      </c>
      <c r="K32" s="1"/>
      <c r="L32" s="20" t="s">
        <v>387</v>
      </c>
      <c r="M32" s="1" t="s">
        <v>140</v>
      </c>
      <c r="N32" s="1"/>
      <c r="O32" s="1"/>
      <c r="P32" s="1"/>
      <c r="Q32" s="1"/>
      <c r="R32" s="1"/>
      <c r="S32" s="1"/>
      <c r="T32" s="1" t="s">
        <v>141</v>
      </c>
      <c r="U32" s="1"/>
      <c r="V32" s="1"/>
      <c r="W32" s="1"/>
      <c r="X32" s="1"/>
      <c r="Y32" s="1"/>
      <c r="Z32" s="1" t="s">
        <v>136</v>
      </c>
      <c r="AA32" s="1"/>
      <c r="AB32" s="1" t="s">
        <v>142</v>
      </c>
      <c r="AC32" s="1"/>
      <c r="AD32" s="1"/>
      <c r="AE32" s="1"/>
      <c r="AF32" s="1" t="s">
        <v>88</v>
      </c>
      <c r="AG32" s="1"/>
      <c r="AH32" s="1" t="s">
        <v>143</v>
      </c>
      <c r="AI32" s="1"/>
      <c r="AJ32" s="4" t="s">
        <v>144</v>
      </c>
      <c r="AK32" s="1"/>
      <c r="AL32" s="1"/>
      <c r="AM32" s="1"/>
      <c r="AN32" s="1"/>
      <c r="AO32" s="1"/>
      <c r="AP32" s="1"/>
    </row>
    <row r="33" spans="1:42" ht="73.2" customHeight="1" x14ac:dyDescent="0.25">
      <c r="A33" s="1" t="s">
        <v>149</v>
      </c>
      <c r="B33" s="1" t="s">
        <v>136</v>
      </c>
      <c r="C33" s="1" t="s">
        <v>136</v>
      </c>
      <c r="D33" s="1" t="s">
        <v>137</v>
      </c>
      <c r="E33" s="1" t="s">
        <v>138</v>
      </c>
      <c r="F33" s="1"/>
      <c r="G33" s="1"/>
      <c r="H33" s="1" t="s">
        <v>101</v>
      </c>
      <c r="I33" s="1"/>
      <c r="J33" s="5" t="s">
        <v>139</v>
      </c>
      <c r="K33" s="1"/>
      <c r="L33" s="20" t="s">
        <v>387</v>
      </c>
      <c r="M33" s="1" t="s">
        <v>140</v>
      </c>
      <c r="N33" s="1"/>
      <c r="O33" s="1"/>
      <c r="P33" s="1"/>
      <c r="Q33" s="1"/>
      <c r="R33" s="1"/>
      <c r="S33" s="1"/>
      <c r="T33" s="1" t="s">
        <v>141</v>
      </c>
      <c r="U33" s="1"/>
      <c r="V33" s="1"/>
      <c r="W33" s="1"/>
      <c r="X33" s="1"/>
      <c r="Y33" s="1"/>
      <c r="Z33" s="1" t="s">
        <v>136</v>
      </c>
      <c r="AA33" s="1"/>
      <c r="AB33" s="1" t="s">
        <v>142</v>
      </c>
      <c r="AC33" s="1"/>
      <c r="AD33" s="1"/>
      <c r="AE33" s="1"/>
      <c r="AF33" s="1" t="s">
        <v>88</v>
      </c>
      <c r="AG33" s="1"/>
      <c r="AH33" s="1" t="s">
        <v>143</v>
      </c>
      <c r="AI33" s="1"/>
      <c r="AJ33" s="4" t="s">
        <v>144</v>
      </c>
      <c r="AK33" s="1"/>
      <c r="AL33" s="1"/>
      <c r="AM33" s="1"/>
      <c r="AN33" s="1"/>
      <c r="AO33" s="1"/>
      <c r="AP33" s="1"/>
    </row>
    <row r="34" spans="1:42" ht="85.2" customHeight="1" x14ac:dyDescent="0.25">
      <c r="A34" s="1" t="s">
        <v>150</v>
      </c>
      <c r="B34" s="1" t="s">
        <v>136</v>
      </c>
      <c r="C34" s="1" t="s">
        <v>136</v>
      </c>
      <c r="D34" s="1" t="s">
        <v>137</v>
      </c>
      <c r="E34" s="1" t="s">
        <v>138</v>
      </c>
      <c r="F34" s="1"/>
      <c r="G34" s="1"/>
      <c r="H34" s="1" t="s">
        <v>101</v>
      </c>
      <c r="I34" s="1"/>
      <c r="J34" s="5" t="s">
        <v>139</v>
      </c>
      <c r="K34" s="1"/>
      <c r="L34" s="20" t="s">
        <v>387</v>
      </c>
      <c r="M34" s="1" t="s">
        <v>140</v>
      </c>
      <c r="N34" s="1"/>
      <c r="O34" s="1"/>
      <c r="P34" s="1"/>
      <c r="Q34" s="1"/>
      <c r="R34" s="1"/>
      <c r="S34" s="1"/>
      <c r="T34" s="1" t="s">
        <v>141</v>
      </c>
      <c r="U34" s="1"/>
      <c r="V34" s="1"/>
      <c r="W34" s="1"/>
      <c r="X34" s="1"/>
      <c r="Y34" s="1"/>
      <c r="Z34" s="1" t="s">
        <v>136</v>
      </c>
      <c r="AA34" s="1"/>
      <c r="AB34" s="1" t="s">
        <v>142</v>
      </c>
      <c r="AC34" s="1"/>
      <c r="AD34" s="1"/>
      <c r="AE34" s="1"/>
      <c r="AF34" s="1" t="s">
        <v>88</v>
      </c>
      <c r="AG34" s="1"/>
      <c r="AH34" s="1" t="s">
        <v>143</v>
      </c>
      <c r="AI34" s="1"/>
      <c r="AJ34" s="4" t="s">
        <v>144</v>
      </c>
      <c r="AK34" s="1"/>
      <c r="AL34" s="1"/>
      <c r="AM34" s="1"/>
      <c r="AN34" s="1"/>
      <c r="AO34" s="1"/>
      <c r="AP34" s="1"/>
    </row>
    <row r="35" spans="1:42" x14ac:dyDescent="0.25">
      <c r="A35" s="1" t="s">
        <v>151</v>
      </c>
      <c r="B35" s="1" t="s">
        <v>152</v>
      </c>
      <c r="C35" s="1" t="s">
        <v>47</v>
      </c>
      <c r="D35" s="1" t="s">
        <v>48</v>
      </c>
      <c r="E35" s="1" t="s">
        <v>49</v>
      </c>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t="s">
        <v>51</v>
      </c>
      <c r="AL35" s="1" t="s">
        <v>52</v>
      </c>
      <c r="AM35" s="1"/>
      <c r="AN35" s="1"/>
      <c r="AO35" s="1"/>
      <c r="AP35" s="1"/>
    </row>
    <row r="36" spans="1:42" x14ac:dyDescent="0.25">
      <c r="A36" s="1" t="s">
        <v>153</v>
      </c>
      <c r="B36" s="1" t="s">
        <v>152</v>
      </c>
      <c r="C36" s="1" t="s">
        <v>47</v>
      </c>
      <c r="D36" s="1" t="s">
        <v>48</v>
      </c>
      <c r="E36" s="1" t="s">
        <v>49</v>
      </c>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t="s">
        <v>51</v>
      </c>
      <c r="AL36" s="1" t="s">
        <v>52</v>
      </c>
      <c r="AM36" s="1"/>
      <c r="AN36" s="1"/>
      <c r="AO36" s="1"/>
      <c r="AP36" s="1"/>
    </row>
    <row r="37" spans="1:42" x14ac:dyDescent="0.25">
      <c r="A37" s="1" t="s">
        <v>154</v>
      </c>
      <c r="B37" s="1" t="s">
        <v>152</v>
      </c>
      <c r="C37" s="1" t="s">
        <v>47</v>
      </c>
      <c r="D37" s="1" t="s">
        <v>48</v>
      </c>
      <c r="E37" s="1" t="s">
        <v>49</v>
      </c>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t="s">
        <v>51</v>
      </c>
      <c r="AL37" s="1" t="s">
        <v>52</v>
      </c>
      <c r="AM37" s="1"/>
      <c r="AN37" s="1"/>
      <c r="AO37" s="1"/>
      <c r="AP37" s="1"/>
    </row>
    <row r="38" spans="1:42" x14ac:dyDescent="0.25">
      <c r="A38" s="1" t="s">
        <v>155</v>
      </c>
      <c r="B38" s="1" t="s">
        <v>152</v>
      </c>
      <c r="C38" s="1" t="s">
        <v>47</v>
      </c>
      <c r="D38" s="1" t="s">
        <v>48</v>
      </c>
      <c r="E38" s="1" t="s">
        <v>49</v>
      </c>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t="s">
        <v>51</v>
      </c>
      <c r="AL38" s="1" t="s">
        <v>52</v>
      </c>
      <c r="AM38" s="1"/>
      <c r="AN38" s="1"/>
      <c r="AO38" s="1"/>
      <c r="AP38" s="1"/>
    </row>
    <row r="39" spans="1:42" x14ac:dyDescent="0.25">
      <c r="A39" s="1" t="s">
        <v>156</v>
      </c>
      <c r="B39" s="1" t="s">
        <v>152</v>
      </c>
      <c r="C39" s="1" t="s">
        <v>47</v>
      </c>
      <c r="D39" s="1" t="s">
        <v>48</v>
      </c>
      <c r="E39" s="1" t="s">
        <v>49</v>
      </c>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t="s">
        <v>51</v>
      </c>
      <c r="AL39" s="1" t="s">
        <v>52</v>
      </c>
      <c r="AM39" s="1"/>
      <c r="AN39" s="1"/>
      <c r="AO39" s="1"/>
      <c r="AP39" s="1"/>
    </row>
    <row r="40" spans="1:42" x14ac:dyDescent="0.25">
      <c r="A40" s="1" t="s">
        <v>157</v>
      </c>
      <c r="B40" s="1" t="s">
        <v>152</v>
      </c>
      <c r="C40" s="1" t="s">
        <v>47</v>
      </c>
      <c r="D40" s="1" t="s">
        <v>48</v>
      </c>
      <c r="E40" s="1" t="s">
        <v>49</v>
      </c>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t="s">
        <v>51</v>
      </c>
      <c r="AL40" s="1" t="s">
        <v>52</v>
      </c>
      <c r="AM40" s="1"/>
      <c r="AN40" s="1"/>
      <c r="AO40" s="1"/>
      <c r="AP40" s="1"/>
    </row>
    <row r="41" spans="1:42" x14ac:dyDescent="0.25">
      <c r="A41" s="1" t="s">
        <v>158</v>
      </c>
      <c r="B41" s="1" t="s">
        <v>152</v>
      </c>
      <c r="C41" s="1" t="s">
        <v>47</v>
      </c>
      <c r="D41" s="1" t="s">
        <v>48</v>
      </c>
      <c r="E41" s="1" t="s">
        <v>49</v>
      </c>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t="s">
        <v>51</v>
      </c>
      <c r="AL41" s="1" t="s">
        <v>52</v>
      </c>
      <c r="AM41" s="1"/>
      <c r="AN41" s="1"/>
      <c r="AO41" s="1"/>
      <c r="AP41" s="1"/>
    </row>
    <row r="42" spans="1:42" x14ac:dyDescent="0.25">
      <c r="A42" s="1" t="s">
        <v>159</v>
      </c>
      <c r="B42" s="1" t="s">
        <v>152</v>
      </c>
      <c r="C42" s="1" t="s">
        <v>47</v>
      </c>
      <c r="D42" s="1" t="s">
        <v>48</v>
      </c>
      <c r="E42" s="1" t="s">
        <v>49</v>
      </c>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t="s">
        <v>51</v>
      </c>
      <c r="AL42" s="1" t="s">
        <v>52</v>
      </c>
      <c r="AM42" s="1"/>
      <c r="AN42" s="1"/>
      <c r="AO42" s="1"/>
      <c r="AP42" s="1"/>
    </row>
    <row r="43" spans="1:42" x14ac:dyDescent="0.25">
      <c r="A43" s="1" t="s">
        <v>160</v>
      </c>
      <c r="B43" s="1" t="s">
        <v>152</v>
      </c>
      <c r="C43" s="1" t="s">
        <v>47</v>
      </c>
      <c r="D43" s="1" t="s">
        <v>48</v>
      </c>
      <c r="E43" s="1" t="s">
        <v>49</v>
      </c>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t="s">
        <v>51</v>
      </c>
      <c r="AL43" s="1" t="s">
        <v>52</v>
      </c>
      <c r="AM43" s="1"/>
      <c r="AN43" s="1"/>
      <c r="AO43" s="1"/>
      <c r="AP43" s="1"/>
    </row>
    <row r="44" spans="1:42" x14ac:dyDescent="0.25">
      <c r="A44" s="1" t="s">
        <v>161</v>
      </c>
      <c r="B44" s="1" t="s">
        <v>152</v>
      </c>
      <c r="C44" s="1" t="s">
        <v>47</v>
      </c>
      <c r="D44" s="1" t="s">
        <v>48</v>
      </c>
      <c r="E44" s="1" t="s">
        <v>49</v>
      </c>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t="s">
        <v>51</v>
      </c>
      <c r="AL44" s="1" t="s">
        <v>52</v>
      </c>
      <c r="AM44" s="1"/>
      <c r="AN44" s="1"/>
      <c r="AO44" s="1"/>
      <c r="AP44" s="1"/>
    </row>
    <row r="45" spans="1:42" ht="196.8" customHeight="1" x14ac:dyDescent="0.25">
      <c r="A45" s="7" t="s">
        <v>162</v>
      </c>
      <c r="B45" s="1" t="s">
        <v>163</v>
      </c>
      <c r="C45" s="1" t="s">
        <v>163</v>
      </c>
      <c r="D45" s="1" t="s">
        <v>164</v>
      </c>
      <c r="E45" s="1" t="s">
        <v>165</v>
      </c>
      <c r="F45" s="1"/>
      <c r="G45" s="1"/>
      <c r="H45" s="1"/>
      <c r="I45" s="1"/>
      <c r="J45" s="3" t="s">
        <v>166</v>
      </c>
      <c r="K45" s="1"/>
      <c r="L45" s="1" t="s">
        <v>388</v>
      </c>
      <c r="M45" s="1" t="s">
        <v>165</v>
      </c>
      <c r="N45" s="1"/>
      <c r="O45" s="1"/>
      <c r="P45" s="1" t="s">
        <v>167</v>
      </c>
      <c r="Q45" s="1"/>
      <c r="R45" s="1" t="s">
        <v>168</v>
      </c>
      <c r="S45" s="1" t="s">
        <v>163</v>
      </c>
      <c r="T45" s="1"/>
      <c r="U45" s="1"/>
      <c r="V45" s="1" t="s">
        <v>169</v>
      </c>
      <c r="W45" s="4" t="s">
        <v>170</v>
      </c>
      <c r="X45" s="1"/>
      <c r="Y45" s="1"/>
      <c r="Z45" s="1"/>
      <c r="AA45" s="1"/>
      <c r="AB45" s="1"/>
      <c r="AC45" s="1"/>
      <c r="AD45" s="1"/>
      <c r="AE45" s="1"/>
      <c r="AF45" s="1"/>
      <c r="AG45" s="1"/>
      <c r="AH45" s="1"/>
      <c r="AI45" s="1"/>
      <c r="AJ45" s="1"/>
      <c r="AK45" s="1"/>
      <c r="AL45" s="1"/>
      <c r="AM45" s="1"/>
      <c r="AN45" s="1"/>
      <c r="AO45" s="1"/>
      <c r="AP45" s="1"/>
    </row>
    <row r="46" spans="1:42" ht="116.4" customHeight="1" x14ac:dyDescent="0.25">
      <c r="A46" s="1" t="s">
        <v>171</v>
      </c>
      <c r="B46" s="1" t="s">
        <v>172</v>
      </c>
      <c r="C46" s="1" t="s">
        <v>172</v>
      </c>
      <c r="D46" s="1" t="s">
        <v>173</v>
      </c>
      <c r="E46" s="1" t="s">
        <v>174</v>
      </c>
      <c r="F46" s="1"/>
      <c r="G46" s="1"/>
      <c r="H46" s="1"/>
      <c r="I46" s="1"/>
      <c r="J46" s="3" t="s">
        <v>175</v>
      </c>
      <c r="K46" s="1"/>
      <c r="L46" s="1" t="s">
        <v>389</v>
      </c>
      <c r="M46" s="1" t="s">
        <v>174</v>
      </c>
      <c r="N46" s="1"/>
      <c r="O46" s="1"/>
      <c r="P46" s="1" t="s">
        <v>176</v>
      </c>
      <c r="Q46" s="1"/>
      <c r="R46" s="1" t="s">
        <v>177</v>
      </c>
      <c r="S46" s="1" t="s">
        <v>172</v>
      </c>
      <c r="T46" s="1"/>
      <c r="U46" s="1"/>
      <c r="V46" s="1" t="s">
        <v>178</v>
      </c>
      <c r="W46" s="4" t="s">
        <v>179</v>
      </c>
      <c r="X46" s="1"/>
      <c r="Y46" s="1"/>
      <c r="Z46" s="1"/>
      <c r="AA46" s="1"/>
      <c r="AB46" s="1"/>
      <c r="AC46" s="1"/>
      <c r="AD46" s="1"/>
      <c r="AE46" s="1"/>
      <c r="AF46" s="1"/>
      <c r="AG46" s="1"/>
      <c r="AH46" s="1"/>
      <c r="AI46" s="1"/>
      <c r="AJ46" s="1"/>
      <c r="AK46" s="1"/>
      <c r="AL46" s="1"/>
      <c r="AM46" s="1"/>
      <c r="AN46" s="1"/>
      <c r="AO46" s="1"/>
      <c r="AP46" s="1"/>
    </row>
    <row r="47" spans="1:42" ht="112.2" customHeight="1" x14ac:dyDescent="0.25">
      <c r="A47" s="1" t="s">
        <v>180</v>
      </c>
      <c r="B47" s="1" t="s">
        <v>181</v>
      </c>
      <c r="C47" s="1" t="s">
        <v>181</v>
      </c>
      <c r="D47" s="1" t="s">
        <v>182</v>
      </c>
      <c r="E47" s="1" t="s">
        <v>183</v>
      </c>
      <c r="F47" s="1"/>
      <c r="G47" s="1"/>
      <c r="H47" s="1"/>
      <c r="I47" s="1"/>
      <c r="J47" s="3" t="s">
        <v>175</v>
      </c>
      <c r="K47" s="1"/>
      <c r="L47" s="1" t="s">
        <v>390</v>
      </c>
      <c r="M47" s="1" t="s">
        <v>183</v>
      </c>
      <c r="N47" s="1"/>
      <c r="O47" s="1"/>
      <c r="P47" s="1" t="s">
        <v>184</v>
      </c>
      <c r="Q47" s="1"/>
      <c r="R47" s="1" t="s">
        <v>185</v>
      </c>
      <c r="S47" s="1" t="s">
        <v>186</v>
      </c>
      <c r="T47" s="1"/>
      <c r="U47" s="1"/>
      <c r="V47" s="1" t="s">
        <v>187</v>
      </c>
      <c r="W47" s="4" t="s">
        <v>188</v>
      </c>
      <c r="X47" s="1"/>
      <c r="Y47" s="1"/>
      <c r="Z47" s="1"/>
      <c r="AA47" s="1"/>
      <c r="AB47" s="1"/>
      <c r="AC47" s="1"/>
      <c r="AD47" s="1"/>
      <c r="AE47" s="1"/>
      <c r="AF47" s="1"/>
      <c r="AG47" s="1"/>
      <c r="AH47" s="1"/>
      <c r="AI47" s="1"/>
      <c r="AJ47" s="1"/>
      <c r="AK47" s="1"/>
      <c r="AL47" s="1"/>
      <c r="AM47" s="1"/>
      <c r="AN47" s="1"/>
      <c r="AO47" s="1"/>
      <c r="AP47" s="1"/>
    </row>
    <row r="48" spans="1:42" ht="85.8" customHeight="1" x14ac:dyDescent="0.25">
      <c r="A48" s="1" t="s">
        <v>189</v>
      </c>
      <c r="B48" s="1" t="s">
        <v>190</v>
      </c>
      <c r="C48" s="1" t="s">
        <v>190</v>
      </c>
      <c r="D48" s="1" t="s">
        <v>191</v>
      </c>
      <c r="E48" s="1" t="s">
        <v>192</v>
      </c>
      <c r="F48" s="1"/>
      <c r="G48" s="1"/>
      <c r="H48" s="1"/>
      <c r="I48" s="1"/>
      <c r="J48" s="2" t="s">
        <v>193</v>
      </c>
      <c r="K48" s="1"/>
      <c r="L48" s="1" t="s">
        <v>391</v>
      </c>
      <c r="M48" s="1" t="s">
        <v>192</v>
      </c>
      <c r="N48" s="1"/>
      <c r="O48" s="1"/>
      <c r="P48" s="1" t="s">
        <v>194</v>
      </c>
      <c r="Q48" s="1"/>
      <c r="R48" s="1" t="s">
        <v>195</v>
      </c>
      <c r="S48" s="1" t="s">
        <v>196</v>
      </c>
      <c r="T48" s="1"/>
      <c r="U48" s="1"/>
      <c r="V48" s="1" t="s">
        <v>197</v>
      </c>
      <c r="W48" s="4" t="s">
        <v>198</v>
      </c>
      <c r="X48" s="1"/>
      <c r="Y48" s="1"/>
      <c r="Z48" s="1"/>
      <c r="AA48" s="1"/>
      <c r="AB48" s="1"/>
      <c r="AC48" s="1"/>
      <c r="AD48" s="1"/>
      <c r="AE48" s="1"/>
      <c r="AF48" s="1"/>
      <c r="AG48" s="1"/>
      <c r="AH48" s="1"/>
      <c r="AI48" s="1"/>
      <c r="AJ48" s="1"/>
      <c r="AK48" s="1"/>
      <c r="AL48" s="1"/>
      <c r="AM48" s="1"/>
      <c r="AN48" s="1"/>
      <c r="AO48" s="1"/>
      <c r="AP48" s="1"/>
    </row>
    <row r="49" spans="1:42" ht="99.6" customHeight="1" x14ac:dyDescent="0.25">
      <c r="A49" s="1" t="s">
        <v>199</v>
      </c>
      <c r="B49" s="1" t="s">
        <v>200</v>
      </c>
      <c r="C49" s="1" t="s">
        <v>201</v>
      </c>
      <c r="D49" s="1" t="s">
        <v>202</v>
      </c>
      <c r="E49" s="1" t="s">
        <v>203</v>
      </c>
      <c r="F49" s="1"/>
      <c r="G49" s="1"/>
      <c r="H49" s="1"/>
      <c r="I49" s="1"/>
      <c r="J49" s="2" t="s">
        <v>204</v>
      </c>
      <c r="K49" s="1"/>
      <c r="L49" s="20" t="s">
        <v>392</v>
      </c>
      <c r="M49" s="1"/>
      <c r="N49" s="1"/>
      <c r="O49" s="1"/>
      <c r="P49" s="1"/>
      <c r="Q49" s="1"/>
      <c r="R49" s="1"/>
      <c r="S49" s="1"/>
      <c r="T49" s="1"/>
      <c r="U49" s="1"/>
      <c r="V49" s="1"/>
      <c r="W49" s="1"/>
      <c r="X49" s="1"/>
      <c r="Y49" s="1"/>
      <c r="Z49" s="1"/>
      <c r="AA49" s="1"/>
      <c r="AB49" s="1"/>
      <c r="AC49" s="1"/>
      <c r="AD49" s="1"/>
      <c r="AE49" s="1"/>
      <c r="AF49" s="1"/>
      <c r="AG49" s="1" t="s">
        <v>205</v>
      </c>
      <c r="AH49" s="1"/>
      <c r="AI49" s="1"/>
      <c r="AJ49" s="1"/>
      <c r="AK49" s="1"/>
      <c r="AL49" s="1"/>
      <c r="AM49" s="1"/>
      <c r="AN49" s="1"/>
      <c r="AO49" s="1"/>
      <c r="AP49" s="1" t="s">
        <v>200</v>
      </c>
    </row>
    <row r="50" spans="1:42" ht="99.6" customHeight="1" x14ac:dyDescent="0.25">
      <c r="A50" s="1" t="s">
        <v>206</v>
      </c>
      <c r="B50" s="1" t="s">
        <v>207</v>
      </c>
      <c r="C50" s="1" t="s">
        <v>207</v>
      </c>
      <c r="D50" s="1" t="s">
        <v>208</v>
      </c>
      <c r="E50" s="1" t="s">
        <v>209</v>
      </c>
      <c r="F50" s="1"/>
      <c r="G50" s="1"/>
      <c r="H50" s="1"/>
      <c r="I50" s="1"/>
      <c r="J50" s="2" t="s">
        <v>210</v>
      </c>
      <c r="K50" s="1"/>
      <c r="L50" s="20" t="s">
        <v>393</v>
      </c>
      <c r="M50" s="1" t="s">
        <v>209</v>
      </c>
      <c r="N50" s="1"/>
      <c r="O50" s="1"/>
      <c r="P50" s="1" t="s">
        <v>211</v>
      </c>
      <c r="Q50" s="1"/>
      <c r="R50" s="1" t="s">
        <v>212</v>
      </c>
      <c r="S50" s="1" t="s">
        <v>213</v>
      </c>
      <c r="T50" s="1"/>
      <c r="U50" s="1"/>
      <c r="V50" s="1"/>
      <c r="W50" s="1"/>
      <c r="X50" s="1"/>
      <c r="Y50" s="1"/>
      <c r="Z50" s="1"/>
      <c r="AA50" s="1"/>
      <c r="AB50" s="1"/>
      <c r="AC50" s="1"/>
      <c r="AD50" s="1"/>
      <c r="AE50" s="1"/>
      <c r="AF50" s="1"/>
      <c r="AG50" s="1"/>
      <c r="AH50" s="1"/>
      <c r="AI50" s="1"/>
      <c r="AJ50" s="1"/>
      <c r="AK50" s="1"/>
      <c r="AL50" s="1"/>
      <c r="AM50" s="1"/>
      <c r="AN50" s="1"/>
      <c r="AO50" s="1"/>
      <c r="AP50" s="1"/>
    </row>
    <row r="51" spans="1:42" ht="127.8" customHeight="1" x14ac:dyDescent="0.25">
      <c r="A51" s="1" t="s">
        <v>214</v>
      </c>
      <c r="B51" s="1" t="s">
        <v>215</v>
      </c>
      <c r="C51" s="1" t="s">
        <v>216</v>
      </c>
      <c r="D51" s="1" t="s">
        <v>217</v>
      </c>
      <c r="E51" s="1"/>
      <c r="F51" s="1"/>
      <c r="G51" s="1"/>
      <c r="H51" s="1"/>
      <c r="I51" s="1"/>
      <c r="J51" s="8" t="s">
        <v>218</v>
      </c>
      <c r="K51" s="1" t="s">
        <v>219</v>
      </c>
      <c r="L51" s="20" t="s">
        <v>394</v>
      </c>
      <c r="M51" s="1"/>
      <c r="N51" s="1"/>
      <c r="O51" s="1"/>
      <c r="P51" s="1"/>
      <c r="Q51" s="1"/>
      <c r="R51" s="1"/>
      <c r="S51" s="1">
        <v>744043680</v>
      </c>
      <c r="T51" s="1"/>
      <c r="U51" s="1" t="s">
        <v>220</v>
      </c>
      <c r="V51" s="1"/>
      <c r="W51" s="1"/>
      <c r="X51" s="1"/>
      <c r="Y51" s="1"/>
      <c r="Z51" s="1"/>
      <c r="AA51" s="1"/>
      <c r="AB51" s="1"/>
      <c r="AC51" s="1"/>
      <c r="AD51" s="1"/>
      <c r="AE51" s="1"/>
      <c r="AF51" s="1"/>
      <c r="AG51" s="1"/>
      <c r="AH51" s="1"/>
      <c r="AI51" s="1"/>
      <c r="AJ51" s="1"/>
      <c r="AK51" s="1"/>
      <c r="AL51" s="1"/>
      <c r="AM51" s="1"/>
      <c r="AN51" s="1"/>
      <c r="AO51" s="1"/>
      <c r="AP51" s="1"/>
    </row>
    <row r="52" spans="1:42" ht="198" customHeight="1" x14ac:dyDescent="0.25">
      <c r="A52" s="1" t="s">
        <v>221</v>
      </c>
      <c r="B52" s="1" t="s">
        <v>222</v>
      </c>
      <c r="C52" s="1" t="s">
        <v>222</v>
      </c>
      <c r="D52" s="1" t="s">
        <v>223</v>
      </c>
      <c r="E52" s="1" t="s">
        <v>224</v>
      </c>
      <c r="F52" s="1"/>
      <c r="G52" s="1"/>
      <c r="H52" s="1"/>
      <c r="I52" s="1"/>
      <c r="J52" s="2" t="s">
        <v>225</v>
      </c>
      <c r="K52" s="9"/>
      <c r="L52" s="20" t="s">
        <v>395</v>
      </c>
      <c r="M52" s="1"/>
      <c r="N52" s="1"/>
      <c r="O52" s="1"/>
      <c r="P52" s="1"/>
      <c r="Q52" s="1"/>
      <c r="R52" s="1"/>
      <c r="S52" s="1"/>
      <c r="T52" s="1"/>
      <c r="U52" s="1"/>
      <c r="V52" s="1"/>
      <c r="W52" s="1"/>
      <c r="X52" s="1"/>
      <c r="Y52" s="1"/>
      <c r="Z52" s="1"/>
      <c r="AA52" s="1"/>
      <c r="AB52" s="1"/>
      <c r="AC52" s="1"/>
      <c r="AD52" s="1">
        <v>0</v>
      </c>
      <c r="AE52" s="1"/>
      <c r="AF52" s="1"/>
      <c r="AG52" s="1"/>
      <c r="AH52" s="1"/>
      <c r="AI52" s="1"/>
      <c r="AJ52" s="1"/>
      <c r="AK52" s="1"/>
      <c r="AL52" s="1"/>
      <c r="AM52" s="1"/>
      <c r="AN52" s="1"/>
      <c r="AO52" s="1"/>
      <c r="AP52" s="1"/>
    </row>
    <row r="53" spans="1:42" ht="138.6" customHeight="1" x14ac:dyDescent="0.25">
      <c r="A53" s="1" t="s">
        <v>226</v>
      </c>
      <c r="B53" s="1" t="s">
        <v>227</v>
      </c>
      <c r="C53" s="1" t="s">
        <v>228</v>
      </c>
      <c r="D53" s="1" t="s">
        <v>229</v>
      </c>
      <c r="E53" s="1" t="s">
        <v>230</v>
      </c>
      <c r="F53" s="1"/>
      <c r="G53" s="1"/>
      <c r="H53" s="1"/>
      <c r="I53" s="1"/>
      <c r="J53" s="10" t="s">
        <v>231</v>
      </c>
      <c r="K53" s="1"/>
      <c r="L53" s="20" t="s">
        <v>396</v>
      </c>
      <c r="M53" s="1"/>
      <c r="N53" s="1"/>
      <c r="O53" s="1"/>
      <c r="P53" s="1"/>
      <c r="Q53" s="1"/>
      <c r="R53" s="1"/>
      <c r="S53" s="1"/>
      <c r="T53" s="1"/>
      <c r="U53" s="1"/>
      <c r="V53" s="1"/>
      <c r="W53" s="1"/>
      <c r="X53" s="1"/>
      <c r="Y53" s="1"/>
      <c r="Z53" s="1"/>
      <c r="AA53" s="1"/>
      <c r="AB53" s="1"/>
      <c r="AC53" s="1" t="s">
        <v>232</v>
      </c>
      <c r="AD53" s="1"/>
      <c r="AE53" s="1"/>
      <c r="AF53" s="1"/>
      <c r="AG53" s="1" t="s">
        <v>233</v>
      </c>
      <c r="AH53" s="1"/>
      <c r="AI53" s="1"/>
      <c r="AJ53" s="1"/>
      <c r="AK53" s="1"/>
      <c r="AL53" s="1"/>
      <c r="AM53" s="1"/>
      <c r="AN53" s="1"/>
      <c r="AO53" s="1"/>
      <c r="AP53" s="1" t="s">
        <v>227</v>
      </c>
    </row>
    <row r="54" spans="1:42" x14ac:dyDescent="0.25">
      <c r="A54" s="1" t="s">
        <v>234</v>
      </c>
      <c r="B54" s="1" t="s">
        <v>227</v>
      </c>
      <c r="C54" s="1" t="s">
        <v>228</v>
      </c>
      <c r="D54" s="1" t="s">
        <v>229</v>
      </c>
      <c r="E54" s="1" t="s">
        <v>230</v>
      </c>
      <c r="F54" s="1"/>
      <c r="G54" s="1"/>
      <c r="H54" s="1"/>
      <c r="I54" s="1"/>
      <c r="J54" s="1"/>
      <c r="K54" s="1"/>
      <c r="L54" s="1"/>
      <c r="M54" s="1"/>
      <c r="N54" s="1"/>
      <c r="O54" s="1"/>
      <c r="P54" s="1"/>
      <c r="Q54" s="1"/>
      <c r="R54" s="1"/>
      <c r="S54" s="1"/>
      <c r="T54" s="1"/>
      <c r="U54" s="1"/>
      <c r="V54" s="1"/>
      <c r="W54" s="1"/>
      <c r="X54" s="1"/>
      <c r="Y54" s="1"/>
      <c r="Z54" s="1"/>
      <c r="AA54" s="1"/>
      <c r="AB54" s="1"/>
      <c r="AC54" s="1" t="s">
        <v>232</v>
      </c>
      <c r="AD54" s="1"/>
      <c r="AE54" s="1"/>
      <c r="AF54" s="1"/>
      <c r="AG54" s="1" t="s">
        <v>233</v>
      </c>
      <c r="AH54" s="1"/>
      <c r="AI54" s="1"/>
      <c r="AJ54" s="1"/>
      <c r="AK54" s="1"/>
      <c r="AL54" s="1"/>
      <c r="AM54" s="1"/>
      <c r="AN54" s="1"/>
      <c r="AO54" s="1"/>
      <c r="AP54" s="1" t="s">
        <v>227</v>
      </c>
    </row>
    <row r="55" spans="1:42" ht="100.2" customHeight="1" x14ac:dyDescent="0.25">
      <c r="A55" s="1" t="s">
        <v>235</v>
      </c>
      <c r="B55" s="1" t="s">
        <v>236</v>
      </c>
      <c r="C55" s="1" t="s">
        <v>146</v>
      </c>
      <c r="D55" s="1" t="s">
        <v>237</v>
      </c>
      <c r="E55" s="1" t="s">
        <v>238</v>
      </c>
      <c r="F55" s="1"/>
      <c r="G55" s="1"/>
      <c r="H55" s="1" t="s">
        <v>101</v>
      </c>
      <c r="I55" s="1"/>
      <c r="J55" s="3" t="s">
        <v>239</v>
      </c>
      <c r="K55" s="1"/>
      <c r="L55" s="20" t="s">
        <v>397</v>
      </c>
      <c r="M55" s="1" t="s">
        <v>240</v>
      </c>
      <c r="N55" s="1"/>
      <c r="O55" s="1"/>
      <c r="P55" s="1"/>
      <c r="Q55" s="1"/>
      <c r="R55" s="1"/>
      <c r="S55" s="1"/>
      <c r="T55" s="1" t="s">
        <v>241</v>
      </c>
      <c r="U55" s="1"/>
      <c r="V55" s="1"/>
      <c r="W55" s="1"/>
      <c r="X55" s="1"/>
      <c r="Y55" s="1"/>
      <c r="Z55" s="1" t="s">
        <v>236</v>
      </c>
      <c r="AA55" s="1"/>
      <c r="AB55" s="1" t="s">
        <v>242</v>
      </c>
      <c r="AC55" s="1"/>
      <c r="AD55" s="1"/>
      <c r="AE55" s="1"/>
      <c r="AF55" s="1" t="s">
        <v>88</v>
      </c>
      <c r="AG55" s="1"/>
      <c r="AH55" s="1" t="s">
        <v>243</v>
      </c>
      <c r="AI55" s="1"/>
      <c r="AJ55" s="4" t="s">
        <v>244</v>
      </c>
      <c r="AK55" s="1"/>
      <c r="AL55" s="1"/>
      <c r="AM55" s="1"/>
      <c r="AN55" s="1"/>
      <c r="AO55" s="1"/>
      <c r="AP55" s="1"/>
    </row>
    <row r="56" spans="1:42" x14ac:dyDescent="0.25">
      <c r="A56" s="1" t="s">
        <v>245</v>
      </c>
      <c r="B56" s="1" t="s">
        <v>246</v>
      </c>
      <c r="C56" s="1" t="s">
        <v>247</v>
      </c>
      <c r="D56" s="1" t="s">
        <v>248</v>
      </c>
      <c r="E56" s="1" t="s">
        <v>249</v>
      </c>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t="s">
        <v>51</v>
      </c>
      <c r="AL56" s="1" t="s">
        <v>250</v>
      </c>
      <c r="AM56" s="1"/>
      <c r="AN56" s="1"/>
      <c r="AO56" s="1"/>
      <c r="AP56" s="1"/>
    </row>
    <row r="57" spans="1:42" x14ac:dyDescent="0.25">
      <c r="A57" s="1" t="s">
        <v>251</v>
      </c>
      <c r="B57" s="1" t="s">
        <v>246</v>
      </c>
      <c r="C57" s="1" t="s">
        <v>247</v>
      </c>
      <c r="D57" s="1" t="s">
        <v>248</v>
      </c>
      <c r="E57" s="1" t="s">
        <v>249</v>
      </c>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t="s">
        <v>51</v>
      </c>
      <c r="AL57" s="1" t="s">
        <v>250</v>
      </c>
      <c r="AM57" s="1"/>
      <c r="AN57" s="1"/>
      <c r="AO57" s="1"/>
      <c r="AP57" s="1"/>
    </row>
    <row r="58" spans="1:42" x14ac:dyDescent="0.25">
      <c r="A58" s="1" t="s">
        <v>252</v>
      </c>
      <c r="B58" s="1" t="s">
        <v>246</v>
      </c>
      <c r="C58" s="1" t="s">
        <v>247</v>
      </c>
      <c r="D58" s="1" t="s">
        <v>248</v>
      </c>
      <c r="E58" s="1" t="s">
        <v>249</v>
      </c>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t="s">
        <v>51</v>
      </c>
      <c r="AL58" s="1" t="s">
        <v>250</v>
      </c>
      <c r="AM58" s="1"/>
      <c r="AN58" s="1"/>
      <c r="AO58" s="1"/>
      <c r="AP58" s="1"/>
    </row>
    <row r="59" spans="1:42" x14ac:dyDescent="0.25">
      <c r="A59" s="1" t="s">
        <v>253</v>
      </c>
      <c r="B59" s="1">
        <v>200</v>
      </c>
      <c r="C59" s="1" t="s">
        <v>247</v>
      </c>
      <c r="D59" s="1" t="s">
        <v>248</v>
      </c>
      <c r="E59" s="1" t="s">
        <v>249</v>
      </c>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t="s">
        <v>51</v>
      </c>
      <c r="AL59" s="1" t="s">
        <v>250</v>
      </c>
      <c r="AM59" s="1"/>
      <c r="AN59" s="1"/>
      <c r="AO59" s="1"/>
      <c r="AP59" s="1"/>
    </row>
    <row r="60" spans="1:42" x14ac:dyDescent="0.25">
      <c r="A60" s="1" t="s">
        <v>254</v>
      </c>
      <c r="B60" s="1" t="s">
        <v>255</v>
      </c>
      <c r="C60" s="1" t="s">
        <v>247</v>
      </c>
      <c r="D60" s="1" t="s">
        <v>248</v>
      </c>
      <c r="E60" s="1" t="s">
        <v>249</v>
      </c>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t="s">
        <v>51</v>
      </c>
      <c r="AL60" s="1" t="s">
        <v>250</v>
      </c>
      <c r="AM60" s="1"/>
      <c r="AN60" s="1"/>
      <c r="AO60" s="1"/>
      <c r="AP60" s="1"/>
    </row>
    <row r="61" spans="1:42" ht="112.2" customHeight="1" x14ac:dyDescent="0.25">
      <c r="A61" s="1" t="s">
        <v>256</v>
      </c>
      <c r="B61" s="1">
        <v>2.2000000000000002</v>
      </c>
      <c r="C61" s="1" t="s">
        <v>247</v>
      </c>
      <c r="D61" s="1" t="s">
        <v>248</v>
      </c>
      <c r="E61" s="1" t="s">
        <v>249</v>
      </c>
      <c r="F61" s="1"/>
      <c r="G61" s="1"/>
      <c r="H61" s="1"/>
      <c r="I61" s="1"/>
      <c r="J61" s="2" t="s">
        <v>257</v>
      </c>
      <c r="K61" s="1"/>
      <c r="L61" s="1" t="s">
        <v>398</v>
      </c>
      <c r="M61" s="1"/>
      <c r="N61" s="1"/>
      <c r="O61" s="1"/>
      <c r="P61" s="1"/>
      <c r="Q61" s="1"/>
      <c r="R61" s="1"/>
      <c r="S61" s="1"/>
      <c r="T61" s="1"/>
      <c r="U61" s="1"/>
      <c r="V61" s="1"/>
      <c r="W61" s="1"/>
      <c r="X61" s="1"/>
      <c r="Y61" s="1"/>
      <c r="Z61" s="1"/>
      <c r="AA61" s="1"/>
      <c r="AB61" s="1"/>
      <c r="AC61" s="1"/>
      <c r="AD61" s="1"/>
      <c r="AE61" s="1"/>
      <c r="AF61" s="1"/>
      <c r="AG61" s="1"/>
      <c r="AH61" s="1"/>
      <c r="AI61" s="1"/>
      <c r="AJ61" s="1"/>
      <c r="AK61" s="1" t="s">
        <v>51</v>
      </c>
      <c r="AL61" s="1" t="s">
        <v>250</v>
      </c>
      <c r="AM61" s="1"/>
      <c r="AN61" s="1"/>
      <c r="AO61" s="1"/>
      <c r="AP61" s="1"/>
    </row>
    <row r="62" spans="1:42" x14ac:dyDescent="0.25">
      <c r="A62" s="1" t="s">
        <v>258</v>
      </c>
      <c r="B62" s="1" t="s">
        <v>246</v>
      </c>
      <c r="C62" s="1" t="s">
        <v>247</v>
      </c>
      <c r="D62" s="1" t="s">
        <v>248</v>
      </c>
      <c r="E62" s="1" t="s">
        <v>249</v>
      </c>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t="s">
        <v>51</v>
      </c>
      <c r="AL62" s="1" t="s">
        <v>250</v>
      </c>
      <c r="AM62" s="1"/>
      <c r="AN62" s="1"/>
      <c r="AO62" s="1"/>
      <c r="AP62" s="1"/>
    </row>
    <row r="63" spans="1:42" x14ac:dyDescent="0.25">
      <c r="A63" s="1" t="s">
        <v>259</v>
      </c>
      <c r="B63" s="1" t="s">
        <v>246</v>
      </c>
      <c r="C63" s="1" t="s">
        <v>247</v>
      </c>
      <c r="D63" s="1" t="s">
        <v>248</v>
      </c>
      <c r="E63" s="1" t="s">
        <v>249</v>
      </c>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t="s">
        <v>51</v>
      </c>
      <c r="AL63" s="1" t="s">
        <v>250</v>
      </c>
      <c r="AM63" s="1"/>
      <c r="AN63" s="1"/>
      <c r="AO63" s="1"/>
      <c r="AP63" s="1"/>
    </row>
    <row r="64" spans="1:42" x14ac:dyDescent="0.25">
      <c r="A64" s="1" t="s">
        <v>260</v>
      </c>
      <c r="B64" s="1" t="s">
        <v>261</v>
      </c>
      <c r="C64" s="1" t="s">
        <v>247</v>
      </c>
      <c r="D64" s="1" t="s">
        <v>248</v>
      </c>
      <c r="E64" s="1" t="s">
        <v>249</v>
      </c>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t="s">
        <v>51</v>
      </c>
      <c r="AL64" s="1" t="s">
        <v>250</v>
      </c>
      <c r="AM64" s="1"/>
      <c r="AN64" s="1"/>
      <c r="AO64" s="1"/>
      <c r="AP64" s="1"/>
    </row>
    <row r="65" spans="1:42" x14ac:dyDescent="0.25">
      <c r="A65" s="1" t="s">
        <v>262</v>
      </c>
      <c r="B65" s="1" t="s">
        <v>261</v>
      </c>
      <c r="C65" s="1" t="s">
        <v>247</v>
      </c>
      <c r="D65" s="1" t="s">
        <v>248</v>
      </c>
      <c r="E65" s="1" t="s">
        <v>249</v>
      </c>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t="s">
        <v>51</v>
      </c>
      <c r="AL65" s="1" t="s">
        <v>250</v>
      </c>
      <c r="AM65" s="1"/>
      <c r="AN65" s="1"/>
      <c r="AO65" s="1"/>
      <c r="AP65" s="1"/>
    </row>
    <row r="66" spans="1:42" x14ac:dyDescent="0.25">
      <c r="A66" s="1" t="s">
        <v>263</v>
      </c>
      <c r="B66" s="1" t="s">
        <v>264</v>
      </c>
      <c r="C66" s="1" t="s">
        <v>247</v>
      </c>
      <c r="D66" s="1" t="s">
        <v>248</v>
      </c>
      <c r="E66" s="1" t="s">
        <v>249</v>
      </c>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t="s">
        <v>51</v>
      </c>
      <c r="AL66" s="1" t="s">
        <v>250</v>
      </c>
      <c r="AM66" s="1"/>
      <c r="AN66" s="1"/>
      <c r="AO66" s="1"/>
      <c r="AP66" s="1"/>
    </row>
    <row r="67" spans="1:42" x14ac:dyDescent="0.25">
      <c r="A67" s="1" t="s">
        <v>265</v>
      </c>
      <c r="B67" s="1" t="s">
        <v>246</v>
      </c>
      <c r="C67" s="1" t="s">
        <v>247</v>
      </c>
      <c r="D67" s="1" t="s">
        <v>248</v>
      </c>
      <c r="E67" s="1" t="s">
        <v>249</v>
      </c>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t="s">
        <v>51</v>
      </c>
      <c r="AL67" s="1" t="s">
        <v>250</v>
      </c>
      <c r="AM67" s="1"/>
      <c r="AN67" s="1"/>
      <c r="AO67" s="1"/>
      <c r="AP67" s="1"/>
    </row>
    <row r="68" spans="1:42" x14ac:dyDescent="0.25">
      <c r="A68" s="1" t="s">
        <v>266</v>
      </c>
      <c r="B68" s="1" t="s">
        <v>246</v>
      </c>
      <c r="C68" s="1" t="s">
        <v>247</v>
      </c>
      <c r="D68" s="1" t="s">
        <v>248</v>
      </c>
      <c r="E68" s="1" t="s">
        <v>249</v>
      </c>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t="s">
        <v>51</v>
      </c>
      <c r="AL68" s="1" t="s">
        <v>250</v>
      </c>
      <c r="AM68" s="1"/>
      <c r="AN68" s="1"/>
      <c r="AO68" s="1"/>
      <c r="AP68" s="1"/>
    </row>
    <row r="69" spans="1:42" x14ac:dyDescent="0.25">
      <c r="A69" s="1" t="s">
        <v>267</v>
      </c>
      <c r="B69" s="1" t="s">
        <v>246</v>
      </c>
      <c r="C69" s="1" t="s">
        <v>247</v>
      </c>
      <c r="D69" s="1" t="s">
        <v>248</v>
      </c>
      <c r="E69" s="1" t="s">
        <v>249</v>
      </c>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t="s">
        <v>51</v>
      </c>
      <c r="AL69" s="1" t="s">
        <v>250</v>
      </c>
      <c r="AM69" s="1"/>
      <c r="AN69" s="1"/>
      <c r="AO69" s="1"/>
      <c r="AP69" s="1"/>
    </row>
    <row r="70" spans="1:42" x14ac:dyDescent="0.25">
      <c r="A70" s="1" t="s">
        <v>268</v>
      </c>
      <c r="B70" s="1" t="s">
        <v>246</v>
      </c>
      <c r="C70" s="1" t="s">
        <v>247</v>
      </c>
      <c r="D70" s="1" t="s">
        <v>248</v>
      </c>
      <c r="E70" s="1" t="s">
        <v>249</v>
      </c>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t="s">
        <v>51</v>
      </c>
      <c r="AL70" s="1" t="s">
        <v>250</v>
      </c>
      <c r="AM70" s="1"/>
      <c r="AN70" s="1"/>
      <c r="AO70" s="1"/>
      <c r="AP70" s="1"/>
    </row>
    <row r="71" spans="1:42" x14ac:dyDescent="0.25">
      <c r="A71" s="1" t="s">
        <v>269</v>
      </c>
      <c r="B71" s="1" t="s">
        <v>246</v>
      </c>
      <c r="C71" s="1" t="s">
        <v>247</v>
      </c>
      <c r="D71" s="1" t="s">
        <v>248</v>
      </c>
      <c r="E71" s="1" t="s">
        <v>249</v>
      </c>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t="s">
        <v>51</v>
      </c>
      <c r="AL71" s="1" t="s">
        <v>250</v>
      </c>
      <c r="AM71" s="1"/>
      <c r="AN71" s="1"/>
      <c r="AO71" s="1"/>
      <c r="AP71" s="1"/>
    </row>
    <row r="72" spans="1:42" x14ac:dyDescent="0.25">
      <c r="A72" s="1" t="s">
        <v>270</v>
      </c>
      <c r="B72" s="1" t="s">
        <v>246</v>
      </c>
      <c r="C72" s="1" t="s">
        <v>247</v>
      </c>
      <c r="D72" s="1" t="s">
        <v>248</v>
      </c>
      <c r="E72" s="1" t="s">
        <v>249</v>
      </c>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t="s">
        <v>51</v>
      </c>
      <c r="AL72" s="1" t="s">
        <v>250</v>
      </c>
      <c r="AM72" s="1"/>
      <c r="AN72" s="1"/>
      <c r="AO72" s="1"/>
      <c r="AP72" s="1"/>
    </row>
    <row r="73" spans="1:42" x14ac:dyDescent="0.25">
      <c r="A73" s="1" t="s">
        <v>271</v>
      </c>
      <c r="B73" s="1" t="s">
        <v>246</v>
      </c>
      <c r="C73" s="1" t="s">
        <v>247</v>
      </c>
      <c r="D73" s="1" t="s">
        <v>248</v>
      </c>
      <c r="E73" s="1" t="s">
        <v>249</v>
      </c>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t="s">
        <v>51</v>
      </c>
      <c r="AL73" s="1" t="s">
        <v>250</v>
      </c>
      <c r="AM73" s="1"/>
      <c r="AN73" s="1"/>
      <c r="AO73" s="1"/>
      <c r="AP73" s="1"/>
    </row>
    <row r="74" spans="1:42" x14ac:dyDescent="0.25">
      <c r="A74" s="1" t="s">
        <v>272</v>
      </c>
      <c r="B74" s="1" t="s">
        <v>246</v>
      </c>
      <c r="C74" s="1" t="s">
        <v>247</v>
      </c>
      <c r="D74" s="1" t="s">
        <v>248</v>
      </c>
      <c r="E74" s="1" t="s">
        <v>249</v>
      </c>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t="s">
        <v>51</v>
      </c>
      <c r="AL74" s="1" t="s">
        <v>250</v>
      </c>
      <c r="AM74" s="1"/>
      <c r="AN74" s="1"/>
      <c r="AO74" s="1"/>
      <c r="AP74" s="1"/>
    </row>
    <row r="75" spans="1:42" ht="94.2" customHeight="1" x14ac:dyDescent="0.25">
      <c r="A75" s="1" t="s">
        <v>273</v>
      </c>
      <c r="B75" s="1" t="s">
        <v>42</v>
      </c>
      <c r="C75" s="1" t="s">
        <v>42</v>
      </c>
      <c r="D75" s="1" t="s">
        <v>43</v>
      </c>
      <c r="E75" s="1"/>
      <c r="F75" s="1"/>
      <c r="G75" s="1"/>
      <c r="H75" s="1"/>
      <c r="I75" s="1"/>
      <c r="J75" s="2" t="s">
        <v>44</v>
      </c>
      <c r="K75" s="1"/>
      <c r="L75" s="20" t="s">
        <v>378</v>
      </c>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row>
    <row r="76" spans="1:42" x14ac:dyDescent="0.25">
      <c r="A76" s="1" t="s">
        <v>274</v>
      </c>
      <c r="B76" s="1" t="s">
        <v>246</v>
      </c>
      <c r="C76" s="1" t="s">
        <v>247</v>
      </c>
      <c r="D76" s="1" t="s">
        <v>248</v>
      </c>
      <c r="E76" s="1" t="s">
        <v>249</v>
      </c>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t="s">
        <v>51</v>
      </c>
      <c r="AL76" s="1" t="s">
        <v>250</v>
      </c>
      <c r="AM76" s="1"/>
      <c r="AN76" s="1"/>
      <c r="AO76" s="1"/>
      <c r="AP76" s="1"/>
    </row>
    <row r="77" spans="1:42" x14ac:dyDescent="0.25">
      <c r="A77" s="1" t="s">
        <v>275</v>
      </c>
      <c r="B77" s="1">
        <v>15</v>
      </c>
      <c r="C77" s="1" t="s">
        <v>247</v>
      </c>
      <c r="D77" s="1" t="s">
        <v>248</v>
      </c>
      <c r="E77" s="1" t="s">
        <v>249</v>
      </c>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t="s">
        <v>51</v>
      </c>
      <c r="AL77" s="1" t="s">
        <v>250</v>
      </c>
      <c r="AM77" s="1"/>
      <c r="AN77" s="1"/>
      <c r="AO77" s="1"/>
      <c r="AP77" s="1"/>
    </row>
    <row r="78" spans="1:42" x14ac:dyDescent="0.25">
      <c r="A78" s="1" t="s">
        <v>276</v>
      </c>
      <c r="B78" s="1" t="s">
        <v>246</v>
      </c>
      <c r="C78" s="1" t="s">
        <v>247</v>
      </c>
      <c r="D78" s="1" t="s">
        <v>248</v>
      </c>
      <c r="E78" s="1" t="s">
        <v>249</v>
      </c>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t="s">
        <v>51</v>
      </c>
      <c r="AL78" s="1" t="s">
        <v>250</v>
      </c>
      <c r="AM78" s="1"/>
      <c r="AN78" s="1"/>
      <c r="AO78" s="1"/>
      <c r="AP78" s="1"/>
    </row>
    <row r="79" spans="1:42" x14ac:dyDescent="0.25">
      <c r="A79" s="1" t="s">
        <v>277</v>
      </c>
      <c r="B79" s="1" t="s">
        <v>246</v>
      </c>
      <c r="C79" s="1" t="s">
        <v>247</v>
      </c>
      <c r="D79" s="1" t="s">
        <v>248</v>
      </c>
      <c r="E79" s="1" t="s">
        <v>249</v>
      </c>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t="s">
        <v>51</v>
      </c>
      <c r="AL79" s="1" t="s">
        <v>250</v>
      </c>
      <c r="AM79" s="1"/>
      <c r="AN79" s="1"/>
      <c r="AO79" s="1"/>
      <c r="AP79" s="1"/>
    </row>
    <row r="80" spans="1:42" x14ac:dyDescent="0.25">
      <c r="A80" s="1" t="s">
        <v>278</v>
      </c>
      <c r="B80" s="1" t="s">
        <v>246</v>
      </c>
      <c r="C80" s="1" t="s">
        <v>247</v>
      </c>
      <c r="D80" s="1" t="s">
        <v>248</v>
      </c>
      <c r="E80" s="1" t="s">
        <v>249</v>
      </c>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t="s">
        <v>51</v>
      </c>
      <c r="AL80" s="1" t="s">
        <v>250</v>
      </c>
      <c r="AM80" s="1"/>
      <c r="AN80" s="1"/>
      <c r="AO80" s="1"/>
      <c r="AP80" s="1"/>
    </row>
    <row r="81" spans="1:42" ht="90.6" customHeight="1" x14ac:dyDescent="0.25">
      <c r="A81" s="1" t="s">
        <v>279</v>
      </c>
      <c r="B81" s="1" t="s">
        <v>280</v>
      </c>
      <c r="C81" s="1" t="s">
        <v>280</v>
      </c>
      <c r="D81" s="1" t="s">
        <v>281</v>
      </c>
      <c r="E81" s="1" t="s">
        <v>282</v>
      </c>
      <c r="F81" s="1"/>
      <c r="G81" s="1"/>
      <c r="H81" s="1" t="s">
        <v>283</v>
      </c>
      <c r="I81" s="1"/>
      <c r="J81" s="2" t="s">
        <v>284</v>
      </c>
      <c r="K81" s="1"/>
      <c r="L81" s="20" t="s">
        <v>399</v>
      </c>
      <c r="M81" s="1" t="s">
        <v>285</v>
      </c>
      <c r="N81" s="1"/>
      <c r="O81" s="1"/>
      <c r="P81" s="1"/>
      <c r="Q81" s="1"/>
      <c r="R81" s="1"/>
      <c r="S81" s="1"/>
      <c r="T81" s="1" t="s">
        <v>286</v>
      </c>
      <c r="U81" s="1"/>
      <c r="V81" s="1"/>
      <c r="W81" s="1"/>
      <c r="X81" s="1"/>
      <c r="Y81" s="1"/>
      <c r="Z81" s="1" t="s">
        <v>287</v>
      </c>
      <c r="AA81" s="1"/>
      <c r="AB81" s="1" t="s">
        <v>288</v>
      </c>
      <c r="AC81" s="1"/>
      <c r="AD81" s="1"/>
      <c r="AE81" s="1"/>
      <c r="AF81" s="1" t="s">
        <v>88</v>
      </c>
      <c r="AG81" s="1"/>
      <c r="AH81" s="1"/>
      <c r="AI81" s="1"/>
      <c r="AJ81" s="1"/>
      <c r="AK81" s="1"/>
      <c r="AL81" s="1"/>
      <c r="AM81" s="1"/>
      <c r="AN81" s="1"/>
      <c r="AO81" s="1"/>
      <c r="AP81" s="1"/>
    </row>
    <row r="82" spans="1:42" ht="73.2" customHeight="1" x14ac:dyDescent="0.25">
      <c r="A82" s="1" t="s">
        <v>289</v>
      </c>
      <c r="B82" s="1"/>
      <c r="C82" s="1" t="s">
        <v>290</v>
      </c>
      <c r="D82" s="1" t="s">
        <v>290</v>
      </c>
      <c r="E82" s="1" t="s">
        <v>291</v>
      </c>
      <c r="F82" s="1"/>
      <c r="G82" s="1"/>
      <c r="H82" s="1"/>
      <c r="I82" s="1"/>
      <c r="J82" s="23" t="s">
        <v>376</v>
      </c>
      <c r="K82" s="1"/>
      <c r="L82" s="1"/>
      <c r="M82" s="1"/>
      <c r="N82" s="1"/>
      <c r="O82" s="1"/>
      <c r="P82" s="1"/>
      <c r="Q82" s="1"/>
      <c r="R82" s="1"/>
      <c r="S82" s="1"/>
      <c r="T82" s="1"/>
      <c r="U82" s="1"/>
      <c r="V82" s="1"/>
      <c r="W82" s="1"/>
      <c r="X82" s="1"/>
      <c r="Y82" s="1"/>
      <c r="Z82" s="1"/>
      <c r="AA82" s="1"/>
      <c r="AB82" s="1"/>
      <c r="AC82" s="1"/>
      <c r="AD82" s="1">
        <v>3</v>
      </c>
      <c r="AE82" s="1"/>
      <c r="AF82" s="1"/>
      <c r="AG82" s="1"/>
      <c r="AH82" s="1"/>
      <c r="AI82" s="1"/>
      <c r="AJ82" s="1"/>
      <c r="AK82" s="1"/>
      <c r="AL82" s="1"/>
      <c r="AM82" s="1"/>
      <c r="AN82" s="1"/>
      <c r="AO82" s="1"/>
      <c r="AP82" s="1"/>
    </row>
    <row r="83" spans="1:42" ht="13.2" x14ac:dyDescent="0.25">
      <c r="A83" s="1" t="s">
        <v>292</v>
      </c>
      <c r="B83" s="1" t="s">
        <v>293</v>
      </c>
      <c r="C83" s="1" t="s">
        <v>293</v>
      </c>
      <c r="D83" s="1" t="s">
        <v>294</v>
      </c>
      <c r="E83" s="1" t="s">
        <v>295</v>
      </c>
      <c r="F83" s="1"/>
      <c r="G83" s="1"/>
      <c r="H83" s="1"/>
      <c r="I83" s="1"/>
      <c r="J83" s="21"/>
      <c r="K83" s="1"/>
      <c r="L83" s="1"/>
      <c r="M83" s="1"/>
      <c r="N83" s="1"/>
      <c r="O83" s="1"/>
      <c r="P83" s="1"/>
      <c r="Q83" s="1"/>
      <c r="R83" s="1"/>
      <c r="S83" s="1"/>
      <c r="T83" s="1"/>
      <c r="U83" s="1"/>
      <c r="V83" s="1"/>
      <c r="W83" s="1"/>
      <c r="X83" s="1"/>
      <c r="Y83" s="1"/>
      <c r="Z83" s="1"/>
      <c r="AA83" s="1"/>
      <c r="AB83" s="1"/>
      <c r="AC83" s="1"/>
      <c r="AD83" s="1">
        <v>2</v>
      </c>
      <c r="AE83" s="1"/>
      <c r="AF83" s="1"/>
      <c r="AG83" s="1"/>
      <c r="AH83" s="1"/>
      <c r="AI83" s="1"/>
      <c r="AJ83" s="1"/>
      <c r="AK83" s="1"/>
      <c r="AL83" s="1"/>
      <c r="AM83" s="1"/>
      <c r="AN83" s="1"/>
      <c r="AO83" s="1" t="s">
        <v>296</v>
      </c>
      <c r="AP83" s="1"/>
    </row>
    <row r="84" spans="1:42" x14ac:dyDescent="0.25">
      <c r="A84" s="1" t="s">
        <v>297</v>
      </c>
      <c r="B84" s="1" t="s">
        <v>293</v>
      </c>
      <c r="C84" s="1" t="s">
        <v>293</v>
      </c>
      <c r="D84" s="1" t="s">
        <v>294</v>
      </c>
      <c r="E84" s="1" t="s">
        <v>295</v>
      </c>
      <c r="F84" s="1"/>
      <c r="G84" s="1"/>
      <c r="H84" s="1"/>
      <c r="I84" s="1"/>
      <c r="J84" s="1"/>
      <c r="K84" s="1"/>
      <c r="L84" s="1"/>
      <c r="M84" s="1"/>
      <c r="N84" s="1"/>
      <c r="O84" s="1"/>
      <c r="P84" s="1"/>
      <c r="Q84" s="1"/>
      <c r="R84" s="1"/>
      <c r="S84" s="1"/>
      <c r="T84" s="1"/>
      <c r="U84" s="1"/>
      <c r="V84" s="1"/>
      <c r="W84" s="1"/>
      <c r="X84" s="1"/>
      <c r="Y84" s="1"/>
      <c r="Z84" s="1"/>
      <c r="AA84" s="1"/>
      <c r="AB84" s="1"/>
      <c r="AC84" s="1"/>
      <c r="AD84" s="1">
        <v>2</v>
      </c>
      <c r="AE84" s="1"/>
      <c r="AF84" s="1"/>
      <c r="AG84" s="1"/>
      <c r="AH84" s="1"/>
      <c r="AI84" s="1"/>
      <c r="AJ84" s="1"/>
      <c r="AK84" s="1"/>
      <c r="AL84" s="1"/>
      <c r="AM84" s="1"/>
      <c r="AN84" s="1"/>
      <c r="AO84" s="1" t="s">
        <v>298</v>
      </c>
      <c r="AP84" s="1"/>
    </row>
    <row r="85" spans="1:42" x14ac:dyDescent="0.25">
      <c r="A85" s="1" t="s">
        <v>299</v>
      </c>
      <c r="B85" s="1" t="s">
        <v>293</v>
      </c>
      <c r="C85" s="1" t="s">
        <v>293</v>
      </c>
      <c r="D85" s="1" t="s">
        <v>294</v>
      </c>
      <c r="E85" s="1" t="s">
        <v>295</v>
      </c>
      <c r="F85" s="1"/>
      <c r="G85" s="1"/>
      <c r="H85" s="1"/>
      <c r="I85" s="1"/>
      <c r="J85" s="1"/>
      <c r="K85" s="1"/>
      <c r="L85" s="1"/>
      <c r="M85" s="1"/>
      <c r="N85" s="1"/>
      <c r="O85" s="1"/>
      <c r="P85" s="1"/>
      <c r="Q85" s="1"/>
      <c r="R85" s="1"/>
      <c r="S85" s="1"/>
      <c r="T85" s="1"/>
      <c r="U85" s="1"/>
      <c r="V85" s="1"/>
      <c r="W85" s="1"/>
      <c r="X85" s="1"/>
      <c r="Y85" s="1"/>
      <c r="Z85" s="1"/>
      <c r="AA85" s="1"/>
      <c r="AB85" s="1"/>
      <c r="AC85" s="1"/>
      <c r="AD85" s="1">
        <v>2</v>
      </c>
      <c r="AE85" s="1"/>
      <c r="AF85" s="1"/>
      <c r="AG85" s="1"/>
      <c r="AH85" s="1"/>
      <c r="AI85" s="1"/>
      <c r="AJ85" s="1"/>
      <c r="AK85" s="1"/>
      <c r="AL85" s="1"/>
      <c r="AM85" s="1"/>
      <c r="AN85" s="1"/>
      <c r="AO85" s="1" t="s">
        <v>300</v>
      </c>
      <c r="AP85" s="1"/>
    </row>
    <row r="86" spans="1:42" x14ac:dyDescent="0.25">
      <c r="A86" s="1" t="s">
        <v>301</v>
      </c>
      <c r="B86" s="1" t="s">
        <v>293</v>
      </c>
      <c r="C86" s="1" t="s">
        <v>293</v>
      </c>
      <c r="D86" s="1" t="s">
        <v>294</v>
      </c>
      <c r="E86" s="1" t="s">
        <v>295</v>
      </c>
      <c r="F86" s="1"/>
      <c r="G86" s="1"/>
      <c r="H86" s="1"/>
      <c r="I86" s="1"/>
      <c r="J86" s="1"/>
      <c r="K86" s="1"/>
      <c r="L86" s="1"/>
      <c r="M86" s="1"/>
      <c r="N86" s="1"/>
      <c r="O86" s="1"/>
      <c r="P86" s="1"/>
      <c r="Q86" s="1"/>
      <c r="R86" s="1"/>
      <c r="S86" s="1"/>
      <c r="T86" s="1"/>
      <c r="U86" s="1"/>
      <c r="V86" s="1"/>
      <c r="W86" s="1"/>
      <c r="X86" s="1"/>
      <c r="Y86" s="1"/>
      <c r="Z86" s="1"/>
      <c r="AA86" s="1"/>
      <c r="AB86" s="1"/>
      <c r="AC86" s="1"/>
      <c r="AD86" s="1">
        <v>2</v>
      </c>
      <c r="AE86" s="1"/>
      <c r="AF86" s="1"/>
      <c r="AG86" s="1"/>
      <c r="AH86" s="1"/>
      <c r="AI86" s="1"/>
      <c r="AJ86" s="1"/>
      <c r="AK86" s="1"/>
      <c r="AL86" s="1"/>
      <c r="AM86" s="1"/>
      <c r="AN86" s="1"/>
      <c r="AO86" s="1" t="s">
        <v>302</v>
      </c>
      <c r="AP86" s="1"/>
    </row>
    <row r="87" spans="1:42" x14ac:dyDescent="0.25">
      <c r="A87" s="1" t="s">
        <v>303</v>
      </c>
      <c r="B87" s="1" t="s">
        <v>293</v>
      </c>
      <c r="C87" s="1" t="s">
        <v>293</v>
      </c>
      <c r="D87" s="1" t="s">
        <v>294</v>
      </c>
      <c r="E87" s="1" t="s">
        <v>295</v>
      </c>
      <c r="F87" s="1"/>
      <c r="G87" s="1"/>
      <c r="H87" s="1"/>
      <c r="I87" s="1"/>
      <c r="J87" s="1"/>
      <c r="K87" s="1"/>
      <c r="L87" s="1"/>
      <c r="M87" s="1"/>
      <c r="N87" s="1"/>
      <c r="O87" s="1"/>
      <c r="P87" s="1"/>
      <c r="Q87" s="1"/>
      <c r="R87" s="1"/>
      <c r="S87" s="1"/>
      <c r="T87" s="1"/>
      <c r="U87" s="1"/>
      <c r="V87" s="1"/>
      <c r="W87" s="1"/>
      <c r="X87" s="1"/>
      <c r="Y87" s="1"/>
      <c r="Z87" s="1"/>
      <c r="AA87" s="1"/>
      <c r="AB87" s="1"/>
      <c r="AC87" s="1"/>
      <c r="AD87" s="1">
        <v>2</v>
      </c>
      <c r="AE87" s="1"/>
      <c r="AF87" s="1"/>
      <c r="AG87" s="1"/>
      <c r="AH87" s="1"/>
      <c r="AI87" s="1"/>
      <c r="AJ87" s="1"/>
      <c r="AK87" s="1"/>
      <c r="AL87" s="1"/>
      <c r="AM87" s="1"/>
      <c r="AN87" s="1"/>
      <c r="AO87" s="1" t="s">
        <v>302</v>
      </c>
      <c r="AP87" s="1"/>
    </row>
    <row r="88" spans="1:42" x14ac:dyDescent="0.25">
      <c r="A88" s="1" t="s">
        <v>304</v>
      </c>
      <c r="B88" s="1" t="s">
        <v>293</v>
      </c>
      <c r="C88" s="1" t="s">
        <v>293</v>
      </c>
      <c r="D88" s="1" t="s">
        <v>294</v>
      </c>
      <c r="E88" s="1" t="s">
        <v>295</v>
      </c>
      <c r="F88" s="1"/>
      <c r="G88" s="1"/>
      <c r="H88" s="1"/>
      <c r="I88" s="1"/>
      <c r="J88" s="1"/>
      <c r="K88" s="1"/>
      <c r="L88" s="1"/>
      <c r="M88" s="1"/>
      <c r="N88" s="1"/>
      <c r="O88" s="1"/>
      <c r="P88" s="1"/>
      <c r="Q88" s="1"/>
      <c r="R88" s="1"/>
      <c r="S88" s="1"/>
      <c r="T88" s="1"/>
      <c r="U88" s="1"/>
      <c r="V88" s="1"/>
      <c r="W88" s="1"/>
      <c r="X88" s="1"/>
      <c r="Y88" s="1"/>
      <c r="Z88" s="1"/>
      <c r="AA88" s="1"/>
      <c r="AB88" s="1"/>
      <c r="AC88" s="1"/>
      <c r="AD88" s="1">
        <v>2</v>
      </c>
      <c r="AE88" s="1"/>
      <c r="AF88" s="1"/>
      <c r="AG88" s="1"/>
      <c r="AH88" s="1"/>
      <c r="AI88" s="1"/>
      <c r="AJ88" s="1"/>
      <c r="AK88" s="1"/>
      <c r="AL88" s="1"/>
      <c r="AM88" s="1"/>
      <c r="AN88" s="1"/>
      <c r="AO88" s="1" t="s">
        <v>305</v>
      </c>
      <c r="AP88" s="1"/>
    </row>
    <row r="89" spans="1:42" x14ac:dyDescent="0.25">
      <c r="A89" s="1" t="s">
        <v>306</v>
      </c>
      <c r="B89" s="1" t="s">
        <v>293</v>
      </c>
      <c r="C89" s="1" t="s">
        <v>293</v>
      </c>
      <c r="D89" s="1" t="s">
        <v>294</v>
      </c>
      <c r="E89" s="1" t="s">
        <v>295</v>
      </c>
      <c r="F89" s="1"/>
      <c r="G89" s="1"/>
      <c r="H89" s="1"/>
      <c r="I89" s="1"/>
      <c r="J89" s="1"/>
      <c r="K89" s="1"/>
      <c r="L89" s="1"/>
      <c r="M89" s="1"/>
      <c r="N89" s="1"/>
      <c r="O89" s="1"/>
      <c r="P89" s="1"/>
      <c r="Q89" s="1"/>
      <c r="R89" s="1"/>
      <c r="S89" s="1"/>
      <c r="T89" s="1"/>
      <c r="U89" s="1"/>
      <c r="V89" s="1"/>
      <c r="W89" s="1"/>
      <c r="X89" s="1"/>
      <c r="Y89" s="1"/>
      <c r="Z89" s="1"/>
      <c r="AA89" s="1"/>
      <c r="AB89" s="1"/>
      <c r="AC89" s="1"/>
      <c r="AD89" s="1">
        <v>2</v>
      </c>
      <c r="AE89" s="1"/>
      <c r="AF89" s="1"/>
      <c r="AG89" s="1"/>
      <c r="AH89" s="1"/>
      <c r="AI89" s="1"/>
      <c r="AJ89" s="1"/>
      <c r="AK89" s="1"/>
      <c r="AL89" s="1"/>
      <c r="AM89" s="1"/>
      <c r="AN89" s="1"/>
      <c r="AO89" s="1" t="s">
        <v>307</v>
      </c>
      <c r="AP89" s="1"/>
    </row>
    <row r="90" spans="1:42" x14ac:dyDescent="0.25">
      <c r="A90" s="1" t="s">
        <v>308</v>
      </c>
      <c r="B90" s="1" t="s">
        <v>293</v>
      </c>
      <c r="C90" s="1" t="s">
        <v>293</v>
      </c>
      <c r="D90" s="1" t="s">
        <v>294</v>
      </c>
      <c r="E90" s="1" t="s">
        <v>295</v>
      </c>
      <c r="F90" s="1"/>
      <c r="G90" s="1"/>
      <c r="H90" s="1"/>
      <c r="I90" s="1"/>
      <c r="J90" s="1"/>
      <c r="K90" s="1"/>
      <c r="L90" s="1"/>
      <c r="M90" s="1"/>
      <c r="N90" s="1"/>
      <c r="O90" s="1"/>
      <c r="P90" s="1"/>
      <c r="Q90" s="1"/>
      <c r="R90" s="1"/>
      <c r="S90" s="1"/>
      <c r="T90" s="1"/>
      <c r="U90" s="1"/>
      <c r="V90" s="1"/>
      <c r="W90" s="1"/>
      <c r="X90" s="1"/>
      <c r="Y90" s="1"/>
      <c r="Z90" s="1"/>
      <c r="AA90" s="1"/>
      <c r="AB90" s="1"/>
      <c r="AC90" s="1"/>
      <c r="AD90" s="1">
        <v>2</v>
      </c>
      <c r="AE90" s="1"/>
      <c r="AF90" s="1"/>
      <c r="AG90" s="1"/>
      <c r="AH90" s="1"/>
      <c r="AI90" s="1"/>
      <c r="AJ90" s="1"/>
      <c r="AK90" s="1"/>
      <c r="AL90" s="1"/>
      <c r="AM90" s="1"/>
      <c r="AN90" s="1"/>
      <c r="AO90" s="1" t="s">
        <v>309</v>
      </c>
      <c r="AP90" s="1"/>
    </row>
    <row r="91" spans="1:42" x14ac:dyDescent="0.25">
      <c r="A91" s="1" t="s">
        <v>310</v>
      </c>
      <c r="B91" s="1" t="s">
        <v>293</v>
      </c>
      <c r="C91" s="1" t="s">
        <v>293</v>
      </c>
      <c r="D91" s="1" t="s">
        <v>294</v>
      </c>
      <c r="E91" s="1" t="s">
        <v>295</v>
      </c>
      <c r="F91" s="1"/>
      <c r="G91" s="1"/>
      <c r="H91" s="1"/>
      <c r="I91" s="1"/>
      <c r="J91" s="1"/>
      <c r="K91" s="1"/>
      <c r="L91" s="1"/>
      <c r="M91" s="1"/>
      <c r="N91" s="1"/>
      <c r="O91" s="1"/>
      <c r="P91" s="1"/>
      <c r="Q91" s="1"/>
      <c r="R91" s="1"/>
      <c r="S91" s="1"/>
      <c r="T91" s="1"/>
      <c r="U91" s="1"/>
      <c r="V91" s="1"/>
      <c r="W91" s="1"/>
      <c r="X91" s="1"/>
      <c r="Y91" s="1"/>
      <c r="Z91" s="1"/>
      <c r="AA91" s="1"/>
      <c r="AB91" s="1"/>
      <c r="AC91" s="1"/>
      <c r="AD91" s="1">
        <v>2</v>
      </c>
      <c r="AE91" s="1"/>
      <c r="AF91" s="1"/>
      <c r="AG91" s="1"/>
      <c r="AH91" s="1"/>
      <c r="AI91" s="1"/>
      <c r="AJ91" s="1"/>
      <c r="AK91" s="1"/>
      <c r="AL91" s="1"/>
      <c r="AM91" s="1"/>
      <c r="AN91" s="1"/>
      <c r="AO91" s="1" t="s">
        <v>311</v>
      </c>
      <c r="AP91" s="1"/>
    </row>
    <row r="92" spans="1:42" x14ac:dyDescent="0.25">
      <c r="A92" s="1" t="s">
        <v>312</v>
      </c>
      <c r="B92" s="1" t="s">
        <v>293</v>
      </c>
      <c r="C92" s="1" t="s">
        <v>293</v>
      </c>
      <c r="D92" s="1" t="s">
        <v>294</v>
      </c>
      <c r="E92" s="1" t="s">
        <v>295</v>
      </c>
      <c r="F92" s="1"/>
      <c r="G92" s="1"/>
      <c r="H92" s="1"/>
      <c r="I92" s="1"/>
      <c r="J92" s="1"/>
      <c r="K92" s="1"/>
      <c r="L92" s="1"/>
      <c r="M92" s="1"/>
      <c r="N92" s="1"/>
      <c r="O92" s="1"/>
      <c r="P92" s="1"/>
      <c r="Q92" s="1"/>
      <c r="R92" s="1"/>
      <c r="S92" s="1"/>
      <c r="T92" s="1"/>
      <c r="U92" s="1"/>
      <c r="V92" s="1"/>
      <c r="W92" s="1"/>
      <c r="X92" s="1"/>
      <c r="Y92" s="1"/>
      <c r="Z92" s="1"/>
      <c r="AA92" s="1"/>
      <c r="AB92" s="1"/>
      <c r="AC92" s="1"/>
      <c r="AD92" s="1">
        <v>2</v>
      </c>
      <c r="AE92" s="1"/>
      <c r="AF92" s="1"/>
      <c r="AG92" s="1"/>
      <c r="AH92" s="1"/>
      <c r="AI92" s="1"/>
      <c r="AJ92" s="1"/>
      <c r="AK92" s="1"/>
      <c r="AL92" s="1"/>
      <c r="AM92" s="1"/>
      <c r="AN92" s="1"/>
      <c r="AO92" s="1" t="s">
        <v>313</v>
      </c>
      <c r="AP92" s="1"/>
    </row>
    <row r="93" spans="1:42" x14ac:dyDescent="0.25">
      <c r="A93" s="1" t="s">
        <v>314</v>
      </c>
      <c r="B93" s="1" t="s">
        <v>293</v>
      </c>
      <c r="C93" s="1" t="s">
        <v>293</v>
      </c>
      <c r="D93" s="1" t="s">
        <v>294</v>
      </c>
      <c r="E93" s="1" t="s">
        <v>295</v>
      </c>
      <c r="F93" s="1"/>
      <c r="G93" s="1"/>
      <c r="H93" s="1"/>
      <c r="I93" s="1"/>
      <c r="J93" s="1"/>
      <c r="K93" s="1"/>
      <c r="L93" s="1"/>
      <c r="M93" s="1"/>
      <c r="N93" s="1"/>
      <c r="O93" s="1"/>
      <c r="P93" s="1"/>
      <c r="Q93" s="1"/>
      <c r="R93" s="1"/>
      <c r="S93" s="1"/>
      <c r="T93" s="1"/>
      <c r="U93" s="1"/>
      <c r="V93" s="1"/>
      <c r="W93" s="1"/>
      <c r="X93" s="1"/>
      <c r="Y93" s="1"/>
      <c r="Z93" s="1"/>
      <c r="AA93" s="1"/>
      <c r="AB93" s="1"/>
      <c r="AC93" s="1"/>
      <c r="AD93" s="1">
        <v>2</v>
      </c>
      <c r="AE93" s="1"/>
      <c r="AF93" s="1"/>
      <c r="AG93" s="1"/>
      <c r="AH93" s="1"/>
      <c r="AI93" s="1"/>
      <c r="AJ93" s="1"/>
      <c r="AK93" s="1"/>
      <c r="AL93" s="1"/>
      <c r="AM93" s="1"/>
      <c r="AN93" s="1"/>
      <c r="AO93" s="1" t="s">
        <v>315</v>
      </c>
      <c r="AP93" s="1"/>
    </row>
    <row r="94" spans="1:42" x14ac:dyDescent="0.25">
      <c r="A94" s="1" t="s">
        <v>316</v>
      </c>
      <c r="B94" s="1" t="s">
        <v>293</v>
      </c>
      <c r="C94" s="1" t="s">
        <v>293</v>
      </c>
      <c r="D94" s="1" t="s">
        <v>294</v>
      </c>
      <c r="E94" s="1" t="s">
        <v>295</v>
      </c>
      <c r="F94" s="1"/>
      <c r="G94" s="1"/>
      <c r="H94" s="1"/>
      <c r="I94" s="1"/>
      <c r="J94" s="1"/>
      <c r="K94" s="1"/>
      <c r="L94" s="1"/>
      <c r="M94" s="1"/>
      <c r="N94" s="1"/>
      <c r="O94" s="1"/>
      <c r="P94" s="1"/>
      <c r="Q94" s="1"/>
      <c r="R94" s="1"/>
      <c r="S94" s="1"/>
      <c r="T94" s="1"/>
      <c r="U94" s="1"/>
      <c r="V94" s="1"/>
      <c r="W94" s="1"/>
      <c r="X94" s="1"/>
      <c r="Y94" s="1"/>
      <c r="Z94" s="1"/>
      <c r="AA94" s="1"/>
      <c r="AB94" s="1"/>
      <c r="AC94" s="1"/>
      <c r="AD94" s="1">
        <v>2</v>
      </c>
      <c r="AE94" s="1"/>
      <c r="AF94" s="1"/>
      <c r="AG94" s="1"/>
      <c r="AH94" s="1"/>
      <c r="AI94" s="1"/>
      <c r="AJ94" s="1"/>
      <c r="AK94" s="1"/>
      <c r="AL94" s="1"/>
      <c r="AM94" s="1"/>
      <c r="AN94" s="1"/>
      <c r="AO94" s="1" t="s">
        <v>317</v>
      </c>
      <c r="AP94" s="1"/>
    </row>
    <row r="95" spans="1:42" x14ac:dyDescent="0.25">
      <c r="A95" s="1" t="s">
        <v>318</v>
      </c>
      <c r="B95" s="1" t="s">
        <v>293</v>
      </c>
      <c r="C95" s="1" t="s">
        <v>293</v>
      </c>
      <c r="D95" s="1" t="s">
        <v>294</v>
      </c>
      <c r="E95" s="1" t="s">
        <v>295</v>
      </c>
      <c r="F95" s="1"/>
      <c r="G95" s="1"/>
      <c r="H95" s="1"/>
      <c r="I95" s="1"/>
      <c r="J95" s="1"/>
      <c r="K95" s="1"/>
      <c r="L95" s="1"/>
      <c r="M95" s="1"/>
      <c r="N95" s="1"/>
      <c r="O95" s="1"/>
      <c r="P95" s="1"/>
      <c r="Q95" s="1"/>
      <c r="R95" s="1"/>
      <c r="S95" s="1"/>
      <c r="T95" s="1"/>
      <c r="U95" s="1"/>
      <c r="V95" s="1"/>
      <c r="W95" s="1"/>
      <c r="X95" s="1"/>
      <c r="Y95" s="1"/>
      <c r="Z95" s="1"/>
      <c r="AA95" s="1"/>
      <c r="AB95" s="1"/>
      <c r="AC95" s="1"/>
      <c r="AD95" s="1">
        <v>2</v>
      </c>
      <c r="AE95" s="1"/>
      <c r="AF95" s="1"/>
      <c r="AG95" s="1"/>
      <c r="AH95" s="1"/>
      <c r="AI95" s="1"/>
      <c r="AJ95" s="1"/>
      <c r="AK95" s="1"/>
      <c r="AL95" s="1"/>
      <c r="AM95" s="1"/>
      <c r="AN95" s="1"/>
      <c r="AO95" s="1" t="s">
        <v>319</v>
      </c>
      <c r="AP95" s="1"/>
    </row>
    <row r="96" spans="1:42" x14ac:dyDescent="0.25">
      <c r="A96" s="1" t="s">
        <v>320</v>
      </c>
      <c r="B96" s="1" t="s">
        <v>293</v>
      </c>
      <c r="C96" s="1" t="s">
        <v>293</v>
      </c>
      <c r="D96" s="1" t="s">
        <v>294</v>
      </c>
      <c r="E96" s="1" t="s">
        <v>295</v>
      </c>
      <c r="F96" s="1"/>
      <c r="G96" s="1"/>
      <c r="H96" s="1"/>
      <c r="I96" s="1"/>
      <c r="J96" s="1"/>
      <c r="K96" s="1"/>
      <c r="L96" s="1"/>
      <c r="M96" s="1"/>
      <c r="N96" s="1"/>
      <c r="O96" s="1"/>
      <c r="P96" s="1"/>
      <c r="Q96" s="1"/>
      <c r="R96" s="1"/>
      <c r="S96" s="1"/>
      <c r="T96" s="1"/>
      <c r="U96" s="1"/>
      <c r="V96" s="1"/>
      <c r="W96" s="1"/>
      <c r="X96" s="1"/>
      <c r="Y96" s="1"/>
      <c r="Z96" s="1"/>
      <c r="AA96" s="1"/>
      <c r="AB96" s="1"/>
      <c r="AC96" s="1"/>
      <c r="AD96" s="1">
        <v>2</v>
      </c>
      <c r="AE96" s="1"/>
      <c r="AF96" s="1"/>
      <c r="AG96" s="1"/>
      <c r="AH96" s="1"/>
      <c r="AI96" s="1"/>
      <c r="AJ96" s="1"/>
      <c r="AK96" s="1"/>
      <c r="AL96" s="1"/>
      <c r="AM96" s="1"/>
      <c r="AN96" s="1"/>
      <c r="AO96" s="1" t="s">
        <v>321</v>
      </c>
      <c r="AP96" s="1"/>
    </row>
    <row r="97" spans="1:42" x14ac:dyDescent="0.25">
      <c r="A97" s="1" t="s">
        <v>322</v>
      </c>
      <c r="B97" s="1" t="s">
        <v>293</v>
      </c>
      <c r="C97" s="1" t="s">
        <v>293</v>
      </c>
      <c r="D97" s="1" t="s">
        <v>294</v>
      </c>
      <c r="E97" s="1" t="s">
        <v>295</v>
      </c>
      <c r="F97" s="1"/>
      <c r="G97" s="1"/>
      <c r="H97" s="1"/>
      <c r="I97" s="1"/>
      <c r="J97" s="1"/>
      <c r="K97" s="1"/>
      <c r="L97" s="1"/>
      <c r="M97" s="1"/>
      <c r="N97" s="1"/>
      <c r="O97" s="1"/>
      <c r="P97" s="1"/>
      <c r="Q97" s="1"/>
      <c r="R97" s="1"/>
      <c r="S97" s="1"/>
      <c r="T97" s="1"/>
      <c r="U97" s="1"/>
      <c r="V97" s="1"/>
      <c r="W97" s="1"/>
      <c r="X97" s="1"/>
      <c r="Y97" s="1"/>
      <c r="Z97" s="1"/>
      <c r="AA97" s="1"/>
      <c r="AB97" s="1"/>
      <c r="AC97" s="1"/>
      <c r="AD97" s="1">
        <v>2</v>
      </c>
      <c r="AE97" s="1"/>
      <c r="AF97" s="1"/>
      <c r="AG97" s="1"/>
      <c r="AH97" s="1"/>
      <c r="AI97" s="1"/>
      <c r="AJ97" s="1"/>
      <c r="AK97" s="1"/>
      <c r="AL97" s="1"/>
      <c r="AM97" s="1"/>
      <c r="AN97" s="1"/>
      <c r="AO97" s="1" t="s">
        <v>323</v>
      </c>
      <c r="AP97" s="1"/>
    </row>
    <row r="98" spans="1:42" x14ac:dyDescent="0.25">
      <c r="A98" s="1" t="s">
        <v>324</v>
      </c>
      <c r="B98" s="1" t="s">
        <v>293</v>
      </c>
      <c r="C98" s="1" t="s">
        <v>293</v>
      </c>
      <c r="D98" s="1" t="s">
        <v>294</v>
      </c>
      <c r="E98" s="1" t="s">
        <v>295</v>
      </c>
      <c r="F98" s="1"/>
      <c r="G98" s="1"/>
      <c r="H98" s="1"/>
      <c r="I98" s="1"/>
      <c r="J98" s="1"/>
      <c r="K98" s="1"/>
      <c r="L98" s="1"/>
      <c r="M98" s="1"/>
      <c r="N98" s="1"/>
      <c r="O98" s="1"/>
      <c r="P98" s="1"/>
      <c r="Q98" s="1"/>
      <c r="R98" s="1"/>
      <c r="S98" s="1"/>
      <c r="T98" s="1"/>
      <c r="U98" s="1"/>
      <c r="V98" s="1"/>
      <c r="W98" s="1"/>
      <c r="X98" s="1"/>
      <c r="Y98" s="1"/>
      <c r="Z98" s="1"/>
      <c r="AA98" s="1"/>
      <c r="AB98" s="1"/>
      <c r="AC98" s="1"/>
      <c r="AD98" s="1">
        <v>2</v>
      </c>
      <c r="AE98" s="1"/>
      <c r="AF98" s="1"/>
      <c r="AG98" s="1"/>
      <c r="AH98" s="1"/>
      <c r="AI98" s="1"/>
      <c r="AJ98" s="1"/>
      <c r="AK98" s="1"/>
      <c r="AL98" s="1"/>
      <c r="AM98" s="1"/>
      <c r="AN98" s="1"/>
      <c r="AO98" s="1" t="s">
        <v>325</v>
      </c>
      <c r="AP98" s="1"/>
    </row>
    <row r="99" spans="1:42" x14ac:dyDescent="0.25">
      <c r="A99" s="1" t="s">
        <v>326</v>
      </c>
      <c r="B99" s="1" t="s">
        <v>293</v>
      </c>
      <c r="C99" s="1" t="s">
        <v>293</v>
      </c>
      <c r="D99" s="1" t="s">
        <v>294</v>
      </c>
      <c r="E99" s="1" t="s">
        <v>295</v>
      </c>
      <c r="F99" s="1"/>
      <c r="G99" s="1"/>
      <c r="H99" s="1"/>
      <c r="I99" s="1"/>
      <c r="J99" s="1"/>
      <c r="K99" s="1"/>
      <c r="L99" s="1"/>
      <c r="M99" s="1"/>
      <c r="N99" s="1"/>
      <c r="O99" s="1"/>
      <c r="P99" s="1"/>
      <c r="Q99" s="1"/>
      <c r="R99" s="1"/>
      <c r="S99" s="1"/>
      <c r="T99" s="1"/>
      <c r="U99" s="1"/>
      <c r="V99" s="1"/>
      <c r="W99" s="1"/>
      <c r="X99" s="1"/>
      <c r="Y99" s="1"/>
      <c r="Z99" s="1"/>
      <c r="AA99" s="1"/>
      <c r="AB99" s="1"/>
      <c r="AC99" s="1"/>
      <c r="AD99" s="1">
        <v>2</v>
      </c>
      <c r="AE99" s="1"/>
      <c r="AF99" s="1"/>
      <c r="AG99" s="1"/>
      <c r="AH99" s="1"/>
      <c r="AI99" s="1"/>
      <c r="AJ99" s="1"/>
      <c r="AK99" s="1"/>
      <c r="AL99" s="1"/>
      <c r="AM99" s="1"/>
      <c r="AN99" s="1"/>
      <c r="AO99" s="1" t="s">
        <v>327</v>
      </c>
      <c r="AP99" s="1"/>
    </row>
    <row r="100" spans="1:42" ht="98.4" customHeight="1" x14ac:dyDescent="0.25">
      <c r="A100" s="1" t="s">
        <v>328</v>
      </c>
      <c r="B100" s="1" t="s">
        <v>329</v>
      </c>
      <c r="C100" s="1" t="s">
        <v>329</v>
      </c>
      <c r="D100" s="1" t="s">
        <v>330</v>
      </c>
      <c r="E100" s="1" t="s">
        <v>138</v>
      </c>
      <c r="F100" s="1"/>
      <c r="G100" s="1"/>
      <c r="H100" s="1" t="s">
        <v>101</v>
      </c>
      <c r="I100" s="1"/>
      <c r="J100" s="3" t="s">
        <v>331</v>
      </c>
      <c r="L100" s="20" t="s">
        <v>400</v>
      </c>
      <c r="M100" s="1" t="s">
        <v>332</v>
      </c>
      <c r="N100" s="1"/>
      <c r="O100" s="1"/>
      <c r="P100" s="1"/>
      <c r="Q100" s="1"/>
      <c r="R100" s="1"/>
      <c r="S100" s="1"/>
      <c r="T100" s="1" t="s">
        <v>333</v>
      </c>
      <c r="U100" s="1"/>
      <c r="V100" s="1"/>
      <c r="W100" s="1"/>
      <c r="X100" s="1"/>
      <c r="Y100" s="1"/>
      <c r="Z100" s="1" t="s">
        <v>329</v>
      </c>
      <c r="AA100" s="1"/>
      <c r="AB100" s="1" t="s">
        <v>334</v>
      </c>
      <c r="AC100" s="1"/>
      <c r="AD100" s="1"/>
      <c r="AE100" s="1"/>
      <c r="AF100" s="1" t="s">
        <v>88</v>
      </c>
      <c r="AG100" s="1"/>
      <c r="AH100" s="1"/>
      <c r="AI100" s="1"/>
      <c r="AJ100" s="4" t="s">
        <v>335</v>
      </c>
      <c r="AK100" s="1"/>
      <c r="AL100" s="1"/>
      <c r="AM100" s="1"/>
      <c r="AN100" s="1"/>
      <c r="AO100" s="1"/>
      <c r="AP100" s="1"/>
    </row>
    <row r="101" spans="1:42" ht="97.2" customHeight="1" x14ac:dyDescent="0.25">
      <c r="A101" s="1" t="s">
        <v>336</v>
      </c>
      <c r="B101" s="1" t="s">
        <v>337</v>
      </c>
      <c r="C101" s="1" t="s">
        <v>337</v>
      </c>
      <c r="D101" s="1" t="s">
        <v>338</v>
      </c>
      <c r="E101" s="1" t="s">
        <v>138</v>
      </c>
      <c r="F101" s="1"/>
      <c r="G101" s="1"/>
      <c r="H101" s="1" t="s">
        <v>101</v>
      </c>
      <c r="I101" s="1"/>
      <c r="J101" s="3" t="s">
        <v>339</v>
      </c>
      <c r="L101" s="20" t="s">
        <v>401</v>
      </c>
      <c r="M101" s="1" t="s">
        <v>340</v>
      </c>
      <c r="N101" s="1"/>
      <c r="O101" s="1"/>
      <c r="P101" s="1"/>
      <c r="Q101" s="1"/>
      <c r="R101" s="1"/>
      <c r="S101" s="1"/>
      <c r="T101" s="1" t="s">
        <v>341</v>
      </c>
      <c r="U101" s="1"/>
      <c r="V101" s="1"/>
      <c r="W101" s="1"/>
      <c r="X101" s="1"/>
      <c r="Y101" s="1"/>
      <c r="Z101" s="1" t="s">
        <v>337</v>
      </c>
      <c r="AA101" s="1"/>
      <c r="AB101" s="1" t="s">
        <v>88</v>
      </c>
      <c r="AC101" s="1"/>
      <c r="AD101" s="1"/>
      <c r="AE101" s="1"/>
      <c r="AF101" s="1" t="s">
        <v>88</v>
      </c>
      <c r="AG101" s="1"/>
      <c r="AH101" s="1"/>
      <c r="AI101" s="1"/>
      <c r="AJ101" s="4" t="s">
        <v>342</v>
      </c>
      <c r="AK101" s="1"/>
      <c r="AL101" s="1"/>
      <c r="AM101" s="1"/>
      <c r="AN101" s="1"/>
      <c r="AO101" s="1"/>
      <c r="AP101" s="1"/>
    </row>
    <row r="102" spans="1:42" ht="83.4" customHeight="1" x14ac:dyDescent="0.25">
      <c r="A102" s="1" t="s">
        <v>343</v>
      </c>
      <c r="B102" s="1" t="s">
        <v>344</v>
      </c>
      <c r="C102" s="1" t="s">
        <v>344</v>
      </c>
      <c r="D102" s="1" t="s">
        <v>345</v>
      </c>
      <c r="E102" s="1" t="s">
        <v>346</v>
      </c>
      <c r="F102" s="1"/>
      <c r="G102" s="1"/>
      <c r="H102" s="1" t="s">
        <v>101</v>
      </c>
      <c r="I102" s="1"/>
      <c r="J102" s="3" t="s">
        <v>347</v>
      </c>
      <c r="L102" s="20" t="s">
        <v>402</v>
      </c>
      <c r="M102" s="1" t="s">
        <v>348</v>
      </c>
      <c r="N102" s="1"/>
      <c r="O102" s="1"/>
      <c r="P102" s="1"/>
      <c r="Q102" s="1"/>
      <c r="R102" s="1"/>
      <c r="S102" s="1"/>
      <c r="T102" s="1" t="s">
        <v>349</v>
      </c>
      <c r="U102" s="1"/>
      <c r="V102" s="1"/>
      <c r="W102" s="1"/>
      <c r="X102" s="1"/>
      <c r="Y102" s="1"/>
      <c r="Z102" s="1" t="s">
        <v>344</v>
      </c>
      <c r="AA102" s="1"/>
      <c r="AB102" s="1" t="s">
        <v>350</v>
      </c>
      <c r="AC102" s="1"/>
      <c r="AD102" s="1"/>
      <c r="AE102" s="1"/>
      <c r="AF102" s="1" t="s">
        <v>88</v>
      </c>
      <c r="AG102" s="1"/>
      <c r="AH102" s="1" t="s">
        <v>351</v>
      </c>
      <c r="AI102" s="1"/>
      <c r="AJ102" s="4" t="s">
        <v>352</v>
      </c>
      <c r="AK102" s="1"/>
      <c r="AL102" s="1"/>
      <c r="AM102" s="1"/>
      <c r="AN102" s="1"/>
      <c r="AO102" s="1"/>
      <c r="AP102" s="1"/>
    </row>
    <row r="103" spans="1:42" ht="81" customHeight="1" x14ac:dyDescent="0.25">
      <c r="A103" s="1" t="s">
        <v>353</v>
      </c>
      <c r="B103" s="1" t="s">
        <v>354</v>
      </c>
      <c r="C103" s="1" t="s">
        <v>354</v>
      </c>
      <c r="D103" s="1" t="s">
        <v>355</v>
      </c>
      <c r="E103" s="1" t="s">
        <v>138</v>
      </c>
      <c r="F103" s="1"/>
      <c r="G103" s="1"/>
      <c r="H103" s="1" t="s">
        <v>101</v>
      </c>
      <c r="I103" s="1"/>
      <c r="J103" s="3" t="s">
        <v>356</v>
      </c>
      <c r="L103" s="20" t="s">
        <v>403</v>
      </c>
      <c r="M103" s="1" t="s">
        <v>357</v>
      </c>
      <c r="N103" s="1"/>
      <c r="O103" s="1"/>
      <c r="P103" s="1"/>
      <c r="Q103" s="1"/>
      <c r="R103" s="1"/>
      <c r="S103" s="1"/>
      <c r="T103" s="1" t="s">
        <v>349</v>
      </c>
      <c r="U103" s="1"/>
      <c r="V103" s="1"/>
      <c r="W103" s="1"/>
      <c r="X103" s="1"/>
      <c r="Y103" s="1"/>
      <c r="Z103" s="1" t="s">
        <v>354</v>
      </c>
      <c r="AA103" s="1"/>
      <c r="AB103" s="1" t="s">
        <v>358</v>
      </c>
      <c r="AC103" s="1"/>
      <c r="AD103" s="1"/>
      <c r="AE103" s="1"/>
      <c r="AF103" s="1" t="s">
        <v>88</v>
      </c>
      <c r="AG103" s="1"/>
      <c r="AH103" s="1" t="s">
        <v>359</v>
      </c>
      <c r="AI103" s="1"/>
      <c r="AJ103" s="4" t="s">
        <v>360</v>
      </c>
      <c r="AK103" s="1"/>
      <c r="AL103" s="1"/>
      <c r="AM103" s="1"/>
      <c r="AN103" s="1"/>
      <c r="AO103" s="1"/>
      <c r="AP103" s="1"/>
    </row>
    <row r="104" spans="1:42" ht="121.8" customHeight="1" x14ac:dyDescent="0.25">
      <c r="A104" s="1" t="s">
        <v>361</v>
      </c>
      <c r="B104" s="1" t="s">
        <v>362</v>
      </c>
      <c r="C104" s="1" t="s">
        <v>363</v>
      </c>
      <c r="D104" s="1" t="s">
        <v>364</v>
      </c>
      <c r="E104" s="1" t="s">
        <v>365</v>
      </c>
      <c r="F104" s="1"/>
      <c r="G104" s="1"/>
      <c r="H104" s="1"/>
      <c r="I104" s="1"/>
      <c r="J104" s="19" t="s">
        <v>404</v>
      </c>
      <c r="L104" s="22" t="s">
        <v>405</v>
      </c>
      <c r="M104" s="1"/>
      <c r="N104" s="1"/>
      <c r="O104" s="1"/>
      <c r="P104" s="1"/>
      <c r="Q104" s="1"/>
      <c r="R104" s="1"/>
      <c r="S104" s="1"/>
      <c r="T104" s="1"/>
      <c r="U104" s="1"/>
      <c r="V104" s="1"/>
      <c r="W104" s="1"/>
      <c r="X104" s="1"/>
      <c r="Y104" s="1"/>
      <c r="Z104" s="1"/>
      <c r="AA104" s="1"/>
      <c r="AB104" s="1"/>
      <c r="AC104" s="1"/>
      <c r="AD104" s="1"/>
      <c r="AE104" s="1"/>
      <c r="AF104" s="1"/>
      <c r="AG104" s="1" t="s">
        <v>366</v>
      </c>
      <c r="AH104" s="1"/>
      <c r="AI104" s="1"/>
      <c r="AJ104" s="1"/>
      <c r="AK104" s="1"/>
      <c r="AL104" s="1"/>
      <c r="AM104" s="1"/>
      <c r="AN104" s="1"/>
      <c r="AO104" s="1"/>
      <c r="AP104" s="1"/>
    </row>
  </sheetData>
  <hyperlinks>
    <hyperlink ref="J2" r:id="rId1" xr:uid="{00000000-0004-0000-0000-000000000000}"/>
    <hyperlink ref="J3" r:id="rId2" xr:uid="{00000000-0004-0000-0000-000001000000}"/>
    <hyperlink ref="J19" r:id="rId3" xr:uid="{00000000-0004-0000-0000-000002000000}"/>
    <hyperlink ref="AJ19" r:id="rId4" xr:uid="{00000000-0004-0000-0000-000003000000}"/>
    <hyperlink ref="J20" r:id="rId5" xr:uid="{00000000-0004-0000-0000-000004000000}"/>
    <hyperlink ref="J21" r:id="rId6" xr:uid="{00000000-0004-0000-0000-000005000000}"/>
    <hyperlink ref="J23" r:id="rId7" xr:uid="{00000000-0004-0000-0000-000006000000}"/>
    <hyperlink ref="AJ23" r:id="rId8" xr:uid="{00000000-0004-0000-0000-000007000000}"/>
    <hyperlink ref="J24" r:id="rId9" xr:uid="{00000000-0004-0000-0000-000008000000}"/>
    <hyperlink ref="L24" r:id="rId10" xr:uid="{00000000-0004-0000-0000-000009000000}"/>
    <hyperlink ref="J25" r:id="rId11" xr:uid="{00000000-0004-0000-0000-00000A000000}"/>
    <hyperlink ref="AJ25" r:id="rId12" xr:uid="{00000000-0004-0000-0000-00000B000000}"/>
    <hyperlink ref="J26" r:id="rId13" xr:uid="{00000000-0004-0000-0000-00000C000000}"/>
    <hyperlink ref="AJ26" r:id="rId14" xr:uid="{00000000-0004-0000-0000-00000D000000}"/>
    <hyperlink ref="J27" r:id="rId15" xr:uid="{00000000-0004-0000-0000-00000E000000}"/>
    <hyperlink ref="AJ27" r:id="rId16" xr:uid="{00000000-0004-0000-0000-00000F000000}"/>
    <hyperlink ref="J28" r:id="rId17" xr:uid="{00000000-0004-0000-0000-000010000000}"/>
    <hyperlink ref="AJ28" r:id="rId18" xr:uid="{00000000-0004-0000-0000-000011000000}"/>
    <hyperlink ref="J29" r:id="rId19" xr:uid="{00000000-0004-0000-0000-000012000000}"/>
    <hyperlink ref="L29" r:id="rId20" xr:uid="{00000000-0004-0000-0000-000013000000}"/>
    <hyperlink ref="J30" r:id="rId21" xr:uid="{00000000-0004-0000-0000-000014000000}"/>
    <hyperlink ref="AJ30" r:id="rId22" xr:uid="{00000000-0004-0000-0000-000015000000}"/>
    <hyperlink ref="J31" r:id="rId23" xr:uid="{00000000-0004-0000-0000-000016000000}"/>
    <hyperlink ref="AJ31" r:id="rId24" xr:uid="{00000000-0004-0000-0000-000017000000}"/>
    <hyperlink ref="J32" r:id="rId25" xr:uid="{00000000-0004-0000-0000-000018000000}"/>
    <hyperlink ref="AJ32" r:id="rId26" xr:uid="{00000000-0004-0000-0000-000019000000}"/>
    <hyperlink ref="J33" r:id="rId27" xr:uid="{00000000-0004-0000-0000-00001A000000}"/>
    <hyperlink ref="AJ33" r:id="rId28" xr:uid="{00000000-0004-0000-0000-00001B000000}"/>
    <hyperlink ref="J34" r:id="rId29" xr:uid="{00000000-0004-0000-0000-00001C000000}"/>
    <hyperlink ref="AJ34" r:id="rId30" xr:uid="{00000000-0004-0000-0000-00001D000000}"/>
    <hyperlink ref="J45" r:id="rId31" xr:uid="{00000000-0004-0000-0000-00001E000000}"/>
    <hyperlink ref="W45" r:id="rId32" xr:uid="{00000000-0004-0000-0000-00001F000000}"/>
    <hyperlink ref="J46" r:id="rId33" xr:uid="{00000000-0004-0000-0000-000020000000}"/>
    <hyperlink ref="W46" r:id="rId34" xr:uid="{00000000-0004-0000-0000-000021000000}"/>
    <hyperlink ref="J47" r:id="rId35" xr:uid="{00000000-0004-0000-0000-000022000000}"/>
    <hyperlink ref="W47" r:id="rId36" xr:uid="{00000000-0004-0000-0000-000023000000}"/>
    <hyperlink ref="J48" r:id="rId37" xr:uid="{00000000-0004-0000-0000-000024000000}"/>
    <hyperlink ref="W48" r:id="rId38" xr:uid="{00000000-0004-0000-0000-000025000000}"/>
    <hyperlink ref="J49" r:id="rId39" xr:uid="{00000000-0004-0000-0000-000026000000}"/>
    <hyperlink ref="J50" r:id="rId40" xr:uid="{00000000-0004-0000-0000-000027000000}"/>
    <hyperlink ref="J51" r:id="rId41" xr:uid="{00000000-0004-0000-0000-000028000000}"/>
    <hyperlink ref="J52" r:id="rId42" xr:uid="{00000000-0004-0000-0000-000029000000}"/>
    <hyperlink ref="L52" r:id="rId43" xr:uid="{00000000-0004-0000-0000-00002B000000}"/>
    <hyperlink ref="J53" r:id="rId44" xr:uid="{00000000-0004-0000-0000-00002C000000}"/>
    <hyperlink ref="J55" r:id="rId45" xr:uid="{00000000-0004-0000-0000-00002D000000}"/>
    <hyperlink ref="AJ55" r:id="rId46" xr:uid="{00000000-0004-0000-0000-00002E000000}"/>
    <hyperlink ref="J61" r:id="rId47" xr:uid="{00000000-0004-0000-0000-00002F000000}"/>
    <hyperlink ref="J75" r:id="rId48" xr:uid="{00000000-0004-0000-0000-000030000000}"/>
    <hyperlink ref="J81" r:id="rId49" xr:uid="{00000000-0004-0000-0000-000031000000}"/>
    <hyperlink ref="J100" r:id="rId50" xr:uid="{00000000-0004-0000-0000-000033000000}"/>
    <hyperlink ref="AJ100" r:id="rId51" xr:uid="{00000000-0004-0000-0000-000034000000}"/>
    <hyperlink ref="J101" r:id="rId52" xr:uid="{00000000-0004-0000-0000-000035000000}"/>
    <hyperlink ref="AJ101" r:id="rId53" xr:uid="{00000000-0004-0000-0000-000036000000}"/>
    <hyperlink ref="J102" r:id="rId54" xr:uid="{00000000-0004-0000-0000-000037000000}"/>
    <hyperlink ref="AJ102" r:id="rId55" xr:uid="{00000000-0004-0000-0000-000038000000}"/>
    <hyperlink ref="J103" r:id="rId56" xr:uid="{00000000-0004-0000-0000-000039000000}"/>
    <hyperlink ref="AJ103" r:id="rId57" xr:uid="{00000000-0004-0000-0000-00003A000000}"/>
    <hyperlink ref="J104" r:id="rId58" xr:uid="{00000000-0004-0000-0000-00003B000000}"/>
    <hyperlink ref="J9" r:id="rId59" xr:uid="{8785F286-6612-4DA6-B6C3-C4197D4AF3A9}"/>
    <hyperlink ref="L2" r:id="rId60" xr:uid="{197E47E8-5056-4C68-AA61-E2AA440B0F0A}"/>
    <hyperlink ref="L9" r:id="rId61" xr:uid="{FA52DB7D-8F69-422B-8BFA-4CDF8844A3CD}"/>
    <hyperlink ref="L19" r:id="rId62" xr:uid="{FE6414A3-769D-401E-AEDF-19415950AA46}"/>
    <hyperlink ref="L20" r:id="rId63" xr:uid="{7ADD7F2D-BECE-4925-9E7D-594A0AAAF2CB}"/>
    <hyperlink ref="L21" r:id="rId64" xr:uid="{F49DC216-C2C5-42B6-B432-6C7A26AB9E94}"/>
    <hyperlink ref="L23" r:id="rId65" xr:uid="{4CA16B1D-9F82-42FA-B5A0-DA19EE702DA9}"/>
    <hyperlink ref="L25" r:id="rId66" xr:uid="{A33519BC-7E4F-4579-AAE3-E1EB3F6F3C97}"/>
    <hyperlink ref="L26" r:id="rId67" xr:uid="{1FBD2DA7-7147-413A-8882-AA71FA50DADE}"/>
    <hyperlink ref="L27" r:id="rId68" xr:uid="{8C4DEDD2-AAD1-4286-AC26-5C668A0DB501}"/>
    <hyperlink ref="L28" r:id="rId69" xr:uid="{3860A939-2D40-4852-A4FB-54E18DC09438}"/>
    <hyperlink ref="L30" r:id="rId70" xr:uid="{4D755787-F7AD-4308-8F04-F0EAC1B8D367}"/>
    <hyperlink ref="L31" r:id="rId71" xr:uid="{CF39505C-0475-4D90-B1D7-DEB7CFE68B51}"/>
    <hyperlink ref="L32" r:id="rId72" xr:uid="{9D3A067A-BEDD-421B-AC6B-00163A7A4809}"/>
    <hyperlink ref="L33" r:id="rId73" xr:uid="{EA329F3D-1FDA-41DE-ACD3-519CC006F590}"/>
    <hyperlink ref="L34" r:id="rId74" xr:uid="{375AEEF2-5615-4304-A989-3ABDA38D6584}"/>
    <hyperlink ref="L49" r:id="rId75" xr:uid="{FAAD4F88-40F5-4775-BFBB-6A8FBC41594A}"/>
    <hyperlink ref="L50" r:id="rId76" xr:uid="{EC48D803-5B91-405D-9277-FC6CD9E81E10}"/>
    <hyperlink ref="L51" r:id="rId77" xr:uid="{25906EA8-E913-48ED-A474-81C0777A284E}"/>
    <hyperlink ref="L53" r:id="rId78" display="https://analytics.supplyframe.com/trackingservlet/track/?r=0x34EY99PS_gIu2qWuzU9_U842M9-un2szqNoXX0OQ9lqbiEKGN3BJ73jgvlrgiXR89Peb0evqc4GXoUXllBhmfH5FwctZio74NZjIXK4nxtqjPHN9-H5PBy53yJrrJZbBH4NAdcIMgEdV_gE1O6mVpxBjQq-HnrRVl4ju3mUj1MvOu9WoqnIQyy7W1YwvcX9VCRJhgRdTTXzdu_kskJxI7qHOaJ0KNYNdgDqe7ulUDDBYEvyQzFh2GA3-28PfZUrgL3V_Lp9QnbJWkRGpsoanEWySrhnFyviXvGf2lgisSLzXYOlJfkMqQK6l_2ZC-ZTT2BcKQ6WVqOBdOtHAJOJ9cvrXMIaIuGSFqVzG8uPFl2SygWLApeagXDewU6Pk1dNJhblENVoy_rqyoAXESNUELMRzOCoN9cRB6wuyIlPj5cU1-C3stG4f02YzfyJ5AcSrLEYWLqR3hfojQpMdAuDb5XxeXJ6Q-0EJTyAN08GE5IU7v-fDrD_q-Vag1rwTbBavWRcsShwa_HGaTwIgGWIRKUZFpYTAm1NA4_5an7HedeBYOvsLvMBoSrxg0BzVjFxR_dKN7f2E-sehvRtvEykg" xr:uid="{2B21C78D-4E67-4796-A9DE-9F3D7A0F60E7}"/>
    <hyperlink ref="L55" r:id="rId79" display="https://analytics.supplyframe.com/trackingservlet/track/?r=0x34EY99PS_gIu2qWuzU9_U842M9-un2szqNoXX0OQ9lqbiEKGN3BJ73jgvlrgiXR89Peb0evqc4GXoUXllBhmfH5FwctZio74NZjIXK4nyAMyAqhHVNKsGe3pXOcOS5GeUpnYTHKSU1tSdDUz28FcNYpvUwKkT6-1c90QkYZSj1pAgze1HZwySGIaVntCe8evYTetZvHUr2i7oUyPyMJa1PdtSpW1re7v-7kKtr_uOfeYNMcNjLouXu8S9MGi6uiqcu-iYncJUKgdR71X7_E3EWySrhnFyviXvGf2lgisSLzXYOlJfkMqQK6l_2ZC-ZTT2BcKQ6WVqOBdOtHAJOJ9cvrXMIaIuGSFqVzG8uPFl2SygWLApeagXDewU6Pk1dObu-zw3LYhuJ3HJplpMjoULMRzOCoN9cRB6wuyIlPj5cU1-C3stG4f02YzfyJ5AcSrLEYWLqR3hfojQpMdAuDb5XxeXJ6Q-0EJTyAN08GE6pEvvQQaaDiDZnDSaMvTi_jJTd1ASKLIri-KACGiFw5m8OPkD82bIIKi8Ws7ZEVeNL8L3abUypxfTWh-4g2-e_" xr:uid="{5729C798-4A3A-4980-9A1B-6AB95A494E4D}"/>
    <hyperlink ref="L75" r:id="rId80" xr:uid="{9921F02E-B4CE-4FD7-8863-C7FACD8FFD80}"/>
    <hyperlink ref="L81" r:id="rId81" xr:uid="{15161AC1-44F9-44EF-BBD7-585D86BA126F}"/>
    <hyperlink ref="L100" r:id="rId82" xr:uid="{9DEF29FF-A51B-4098-8BE4-D1A61D152EC7}"/>
    <hyperlink ref="L101" r:id="rId83" xr:uid="{EF66BF86-8D7D-448E-908E-64EE260A2B35}"/>
    <hyperlink ref="L102" r:id="rId84" xr:uid="{04EE8F11-FED2-418B-8057-320FC82D98C3}"/>
    <hyperlink ref="L103" r:id="rId85" xr:uid="{F141C21C-9ECF-4B57-8636-441601BDFDDD}"/>
    <hyperlink ref="L104" r:id="rId86" xr:uid="{DBC05515-88FF-4057-B836-BE580DE126A8}"/>
    <hyperlink ref="J82" r:id="rId87" xr:uid="{88F55FD4-8135-420E-903C-AA26B39233E6}"/>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0"/>
  <sheetViews>
    <sheetView workbookViewId="0"/>
  </sheetViews>
  <sheetFormatPr defaultColWidth="12.6640625" defaultRowHeight="15.75" customHeight="1" x14ac:dyDescent="0.25"/>
  <cols>
    <col min="1" max="1" width="25.6640625" customWidth="1"/>
  </cols>
  <sheetData>
    <row r="1" spans="1:30" x14ac:dyDescent="0.25">
      <c r="A1" s="12"/>
      <c r="B1" s="12" t="str">
        <f ca="1">IFERROR(__xludf.DUMMYFUNCTION("UNIQUE(BOM_OpenBook!B:B)"),"Value")</f>
        <v>Value</v>
      </c>
      <c r="C1" s="12" t="str">
        <f ca="1">IFERROR(__xludf.DUMMYFUNCTION("UNIQUE(BOM_OpenBook!C:C)"),"Device")</f>
        <v>Device</v>
      </c>
      <c r="D1" s="12" t="str">
        <f ca="1">IFERROR(__xludf.DUMMYFUNCTION("UNIQUE(BOM_OpenBook!D:D)"),"Footprint Name")</f>
        <v>Footprint Name</v>
      </c>
      <c r="E1" s="12" t="str">
        <f ca="1">IFERROR(__xludf.DUMMYFUNCTION("UNIQUE(BOM_OpenBook!E:E)"),"Detailed Description")</f>
        <v>Detailed Description</v>
      </c>
      <c r="F1" s="12" t="str">
        <f ca="1">IFERROR(__xludf.DUMMYFUNCTION("UNIQUE(BOM_OpenBook!F:F)"),"ARROW_PART_NUMBER")</f>
        <v>ARROW_PART_NUMBER</v>
      </c>
      <c r="G1" s="12" t="str">
        <f ca="1">IFERROR(__xludf.DUMMYFUNCTION("UNIQUE(BOM_OpenBook!G:G)"),"ARROW_PRICE-STOCK")</f>
        <v>ARROW_PRICE-STOCK</v>
      </c>
      <c r="H1" s="12" t="str">
        <f ca="1">IFERROR(__xludf.DUMMYFUNCTION("UNIQUE(BOM_OpenBook!H:H)"),"AVAILABILITY")</f>
        <v>AVAILABILITY</v>
      </c>
      <c r="I1" s="12" t="str">
        <f ca="1">IFERROR(__xludf.DUMMYFUNCTION("UNIQUE(BOM_OpenBook!I:I)"),"CENTROID_NOT_SPECIFIED")</f>
        <v>CENTROID_NOT_SPECIFIED</v>
      </c>
      <c r="J1" s="12" t="str">
        <f ca="1">IFERROR(__xludf.DUMMYFUNCTION("UNIQUE(BOM_OpenBook!J:J)"),"CHECK_PRICES")</f>
        <v>CHECK_PRICES</v>
      </c>
      <c r="K1" s="12" t="str">
        <f ca="1">IFERROR(__xludf.DUMMYFUNCTION("UNIQUE(BOM_OpenBook!K:K)"),"#REF!")</f>
        <v>#REF!</v>
      </c>
      <c r="L1" s="12" t="str">
        <f ca="1">IFERROR(__xludf.DUMMYFUNCTION("UNIQUE(BOM_OpenBook!L:L)"),"DATASHEET")</f>
        <v>DATASHEET</v>
      </c>
      <c r="M1" s="12" t="str">
        <f ca="1">IFERROR(__xludf.DUMMYFUNCTION("UNIQUE(BOM_OpenBook!M:M)"),"DESCRIPTION")</f>
        <v>DESCRIPTION</v>
      </c>
      <c r="N1" s="12" t="str">
        <f ca="1">IFERROR(__xludf.DUMMYFUNCTION("UNIQUE(BOM_OpenBook!N:N)"),"DIGIKEY_DESCRIPTION")</f>
        <v>DIGIKEY_DESCRIPTION</v>
      </c>
      <c r="O1" s="12" t="str">
        <f ca="1">IFERROR(__xludf.DUMMYFUNCTION("UNIQUE(BOM_OpenBook!O:O)"),"DIGIKEY_PART_NUMBER")</f>
        <v>DIGIKEY_PART_NUMBER</v>
      </c>
      <c r="P1" s="12" t="str">
        <f ca="1">IFERROR(__xludf.DUMMYFUNCTION("UNIQUE(BOM_OpenBook!P:P)"),"HEIGHT")</f>
        <v>HEIGHT</v>
      </c>
      <c r="Q1" s="12" t="str">
        <f ca="1">IFERROR(__xludf.DUMMYFUNCTION("UNIQUE(BOM_OpenBook!Q:Q)"),"LEAD_FREE")</f>
        <v>LEAD_FREE</v>
      </c>
      <c r="R1" s="12" t="str">
        <f ca="1">IFERROR(__xludf.DUMMYFUNCTION("UNIQUE(BOM_OpenBook!R:R)"),"MANUFACTURER_NAME")</f>
        <v>MANUFACTURER_NAME</v>
      </c>
      <c r="S1" s="12" t="str">
        <f ca="1">IFERROR(__xludf.DUMMYFUNCTION("UNIQUE(BOM_OpenBook!S:S)"),"MANUFACTURER_PART_NUMBER")</f>
        <v>MANUFACTURER_PART_NUMBER</v>
      </c>
      <c r="T1" s="12" t="str">
        <f ca="1">IFERROR(__xludf.DUMMYFUNCTION("UNIQUE(BOM_OpenBook!T:T)"),"MF")</f>
        <v>MF</v>
      </c>
      <c r="U1" s="12" t="str">
        <f ca="1">IFERROR(__xludf.DUMMYFUNCTION("UNIQUE(BOM_OpenBook!U:U)"),"MFR_NAME")</f>
        <v>MFR_NAME</v>
      </c>
      <c r="V1" s="12" t="str">
        <f ca="1">IFERROR(__xludf.DUMMYFUNCTION("UNIQUE(BOM_OpenBook!V:V)"),"MOUSER_PART_NUMBER")</f>
        <v>MOUSER_PART_NUMBER</v>
      </c>
      <c r="W1" s="12" t="str">
        <f ca="1">IFERROR(__xludf.DUMMYFUNCTION("UNIQUE(BOM_OpenBook!W:W)"),"MOUSER_PRICE-STOCK")</f>
        <v>MOUSER_PRICE-STOCK</v>
      </c>
      <c r="X1" s="12" t="str">
        <f ca="1">IFERROR(__xludf.DUMMYFUNCTION("UNIQUE(BOM_OpenBook!X:X)"),"MOUSER_TESTING_PART_NUMBER")</f>
        <v>MOUSER_TESTING_PART_NUMBER</v>
      </c>
      <c r="Y1" s="12" t="str">
        <f ca="1">IFERROR(__xludf.DUMMYFUNCTION("UNIQUE(BOM_OpenBook!Y:Y)"),"MOUSER_TESTING_PRICE-STOCK")</f>
        <v>MOUSER_TESTING_PRICE-STOCK</v>
      </c>
      <c r="Z1" s="12" t="str">
        <f ca="1">IFERROR(__xludf.DUMMYFUNCTION("UNIQUE(BOM_OpenBook!Z:Z)"),"MP")</f>
        <v>MP</v>
      </c>
      <c r="AA1" s="12" t="str">
        <f ca="1">IFERROR(__xludf.DUMMYFUNCTION("UNIQUE(BOM_OpenBook!AB:AB)"),"PACKAGE")</f>
        <v>PACKAGE</v>
      </c>
      <c r="AB1" s="12" t="str">
        <f ca="1">IFERROR(__xludf.DUMMYFUNCTION("UNIQUE(BOM_OpenBook!AH:AH)"),"PURCHASE-URL")</f>
        <v>PURCHASE-URL</v>
      </c>
      <c r="AC1" s="12" t="str">
        <f ca="1">IFERROR(__xludf.DUMMYFUNCTION("UNIQUE(BOM_OpenBook!AJ:AJ)"),"#REF!")</f>
        <v>#REF!</v>
      </c>
      <c r="AD1" s="12" t="str">
        <f ca="1">IFERROR(__xludf.DUMMYFUNCTION("UNIQUE(BOM_OpenBook!AG:AG)"),"PROD_ID")</f>
        <v>PROD_ID</v>
      </c>
    </row>
    <row r="2" spans="1:30" x14ac:dyDescent="0.25">
      <c r="A2" s="12"/>
      <c r="B2" s="12" t="str">
        <f ca="1">IFERROR(__xludf.DUMMYFUNCTION("""COMPUTED_VALUE"""),"BUTTON_CUSYOMV1")</f>
        <v>BUTTON_CUSYOMV1</v>
      </c>
      <c r="C2" s="12" t="str">
        <f ca="1">IFERROR(__xludf.DUMMYFUNCTION("""COMPUTED_VALUE"""),"BUTTON_CUSYOMV1")</f>
        <v>BUTTON_CUSYOMV1</v>
      </c>
      <c r="D2" s="12" t="str">
        <f ca="1">IFERROR(__xludf.DUMMYFUNCTION("""COMPUTED_VALUE"""),"MYBUTTON")</f>
        <v>MYBUTTON</v>
      </c>
      <c r="E2" s="12"/>
      <c r="F2" s="12"/>
      <c r="G2" s="12"/>
      <c r="H2" s="12"/>
      <c r="I2" s="12"/>
      <c r="J2" s="13" t="str">
        <f ca="1">IFERROR(__xludf.DUMMYFUNCTION("""COMPUTED_VALUE"""),"https://industry.panasonic.com/global/en/products/control/switch/light-touch/number/evqpuj02k")</f>
        <v>https://industry.panasonic.com/global/en/products/control/switch/light-touch/number/evqpuj02k</v>
      </c>
      <c r="K2" s="12"/>
      <c r="L2" s="12"/>
      <c r="M2" s="12"/>
      <c r="N2" s="12"/>
      <c r="O2" s="12"/>
      <c r="P2" s="12"/>
      <c r="Q2" s="12"/>
      <c r="R2" s="12"/>
      <c r="S2" s="12"/>
      <c r="T2" s="12"/>
      <c r="U2" s="12"/>
      <c r="V2" s="12"/>
      <c r="W2" s="12"/>
      <c r="X2" s="12"/>
      <c r="Y2" s="12"/>
      <c r="Z2" s="12"/>
      <c r="AA2" s="12"/>
      <c r="AB2" s="12"/>
      <c r="AC2" s="12"/>
      <c r="AD2" s="12"/>
    </row>
    <row r="3" spans="1:30" x14ac:dyDescent="0.25">
      <c r="A3" s="11" t="s">
        <v>84</v>
      </c>
      <c r="B3" s="12" t="str">
        <f ca="1">IFERROR(__xludf.DUMMYFUNCTION("""COMPUTED_VALUE"""),"100nF")</f>
        <v>100nF</v>
      </c>
      <c r="C3" s="12" t="str">
        <f ca="1">IFERROR(__xludf.DUMMYFUNCTION("""COMPUTED_VALUE"""),"ESP32_WROVER_EAGLE-LTSPICE_CC0402")</f>
        <v>ESP32_WROVER_EAGLE-LTSPICE_CC0402</v>
      </c>
      <c r="D3" s="12" t="str">
        <f ca="1">IFERROR(__xludf.DUMMYFUNCTION("""COMPUTED_VALUE"""),"ESP32_WROVER_EAGLE-LTSPICE_C0402")</f>
        <v>ESP32_WROVER_EAGLE-LTSPICE_C0402</v>
      </c>
      <c r="E3" s="12" t="str">
        <f ca="1">IFERROR(__xludf.DUMMYFUNCTION("""COMPUTED_VALUE"""),"CAPACITOR, European symbol")</f>
        <v>CAPACITOR, European symbol</v>
      </c>
      <c r="F3" s="12"/>
      <c r="G3" s="12" t="str">
        <f ca="1">IFERROR(__xludf.DUMMYFUNCTION("""COMPUTED_VALUE"""),"vgf")</f>
        <v>vgf</v>
      </c>
      <c r="H3" s="12" t="str">
        <f ca="1">IFERROR(__xludf.DUMMYFUNCTION("""COMPUTED_VALUE"""),"Not in stock")</f>
        <v>Not in stock</v>
      </c>
      <c r="I3" s="12" t="str">
        <f ca="1">IFERROR(__xludf.DUMMYFUNCTION("""COMPUTED_VALUE"""),"No")</f>
        <v>No</v>
      </c>
      <c r="J3" s="14" t="str">
        <f ca="1">IFERROR(__xludf.DUMMYFUNCTION("""COMPUTED_VALUE"""),"https://componentsearchengine.com/part-view/CC0402MRX5R5BB106/YAGEO")</f>
        <v>https://componentsearchengine.com/part-view/CC0402MRX5R5BB106/YAGEO</v>
      </c>
      <c r="K3" s="12"/>
      <c r="L3" s="13" t="str">
        <f ca="1">IFERROR(__xludf.DUMMYFUNCTION("""COMPUTED_VALUE"""),"http://datasheets.avx.com/schottky.pdf")</f>
        <v>http://datasheets.avx.com/schottky.pdf</v>
      </c>
      <c r="M3" s="12" t="str">
        <f ca="1">IFERROR(__xludf.DUMMYFUNCTION("""COMPUTED_VALUE""")," 11 mF (EDLC) Supercapacitor 3.3 V 1210 (3225 Metric) - - ")</f>
        <v xml:space="preserve"> 11 mF (EDLC) Supercapacitor 3.3 V 1210 (3225 Metric) - - </v>
      </c>
      <c r="N3" s="12" t="str">
        <f ca="1">IFERROR(__xludf.DUMMYFUNCTION("""COMPUTED_VALUE"""),"DIODE SCHOTTKY 20V 1A 0805")</f>
        <v>DIODE SCHOTTKY 20V 1A 0805</v>
      </c>
      <c r="O3" s="12" t="str">
        <f ca="1">IFERROR(__xludf.DUMMYFUNCTION("""COMPUTED_VALUE"""),"478-7800-1-ND")</f>
        <v>478-7800-1-ND</v>
      </c>
      <c r="P3" s="12" t="str">
        <f ca="1">IFERROR(__xludf.DUMMYFUNCTION("""COMPUTED_VALUE"""),"1.25mm")</f>
        <v>1.25mm</v>
      </c>
      <c r="Q3" s="12" t="str">
        <f ca="1">IFERROR(__xludf.DUMMYFUNCTION("""COMPUTED_VALUE"""),"yes")</f>
        <v>yes</v>
      </c>
      <c r="R3" s="12" t="str">
        <f ca="1">IFERROR(__xludf.DUMMYFUNCTION("""COMPUTED_VALUE"""),"ROHM Semiconductor")</f>
        <v>ROHM Semiconductor</v>
      </c>
      <c r="S3" s="12" t="str">
        <f ca="1">IFERROR(__xludf.DUMMYFUNCTION("""COMPUTED_VALUE"""),"BD5229G-TR")</f>
        <v>BD5229G-TR</v>
      </c>
      <c r="T3" s="12" t="str">
        <f ca="1">IFERROR(__xludf.DUMMYFUNCTION("""COMPUTED_VALUE"""),"Seiko Instruments")</f>
        <v>Seiko Instruments</v>
      </c>
      <c r="U3" s="12" t="str">
        <f ca="1">IFERROR(__xludf.DUMMYFUNCTION("""COMPUTED_VALUE"""),"Wurth Electronics")</f>
        <v>Wurth Electronics</v>
      </c>
      <c r="V3" s="12" t="str">
        <f ca="1">IFERROR(__xludf.DUMMYFUNCTION("""COMPUTED_VALUE"""),"581-SD0805S020S1R0")</f>
        <v>581-SD0805S020S1R0</v>
      </c>
      <c r="W3" s="13" t="str">
        <f ca="1">IFERROR(__xludf.DUMMYFUNCTION("""COMPUTED_VALUE"""),"https://www.mouser.co.uk/ProductDetail/ROHM-Semiconductor/BD5229G-TR?qs=4kLU8WoGk0vvnhrrYwdszw%3D%3D")</f>
        <v>https://www.mouser.co.uk/ProductDetail/ROHM-Semiconductor/BD5229G-TR?qs=4kLU8WoGk0vvnhrrYwdszw%3D%3D</v>
      </c>
      <c r="X3" s="12"/>
      <c r="Y3" s="12"/>
      <c r="Z3" s="12" t="str">
        <f ca="1">IFERROR(__xludf.DUMMYFUNCTION("""COMPUTED_VALUE"""),"CPH3225A")</f>
        <v>CPH3225A</v>
      </c>
      <c r="AA3" s="12" t="str">
        <f ca="1">IFERROR(__xludf.DUMMYFUNCTION("""COMPUTED_VALUE"""),"1210 Seiko")</f>
        <v>1210 Seiko</v>
      </c>
      <c r="AB3" s="12" t="str">
        <f ca="1">IFERROR(__xludf.DUMMYFUNCTION("""COMPUTED_VALUE"""),"https://www.snapeda.com/api/url_track_click_mouser/?unipart_id=562593&amp;manufacturer=Seiko Instruments&amp;part_name=CPH3225A&amp;search_term=None")</f>
        <v>https://www.snapeda.com/api/url_track_click_mouser/?unipart_id=562593&amp;manufacturer=Seiko Instruments&amp;part_name=CPH3225A&amp;search_term=None</v>
      </c>
      <c r="AC3" s="12"/>
      <c r="AD3" s="12" t="str">
        <f ca="1">IFERROR(__xludf.DUMMYFUNCTION("""COMPUTED_VALUE"""),"CONN-13694")</f>
        <v>CONN-13694</v>
      </c>
    </row>
    <row r="4" spans="1:30" x14ac:dyDescent="0.25">
      <c r="A4" s="15" t="s">
        <v>102</v>
      </c>
      <c r="B4" s="12" t="str">
        <f ca="1">IFERROR(__xludf.DUMMYFUNCTION("""COMPUTED_VALUE"""),"4.7uF")</f>
        <v>4.7uF</v>
      </c>
      <c r="C4" s="12" t="str">
        <f ca="1">IFERROR(__xludf.DUMMYFUNCTION("""COMPUTED_VALUE"""),"EAGLE-LTSPICE_CC0402")</f>
        <v>EAGLE-LTSPICE_CC0402</v>
      </c>
      <c r="D4" s="12" t="str">
        <f ca="1">IFERROR(__xludf.DUMMYFUNCTION("""COMPUTED_VALUE"""),"EAGLE-LTSPICE_C0402")</f>
        <v>EAGLE-LTSPICE_C0402</v>
      </c>
      <c r="E4" s="12" t="str">
        <f ca="1">IFERROR(__xludf.DUMMYFUNCTION("""COMPUTED_VALUE"""),"POLARIZED CAPACITOR, European symbol")</f>
        <v>POLARIZED CAPACITOR, European symbol</v>
      </c>
      <c r="F4" s="12"/>
      <c r="G4" s="12"/>
      <c r="H4" s="12" t="str">
        <f ca="1">IFERROR(__xludf.DUMMYFUNCTION("""COMPUTED_VALUE"""),"In Stock")</f>
        <v>In Stock</v>
      </c>
      <c r="I4" s="12"/>
      <c r="J4" s="16"/>
      <c r="K4" s="11" t="s">
        <v>367</v>
      </c>
      <c r="L4" s="13" t="str">
        <f ca="1">IFERROR(__xludf.DUMMYFUNCTION("""COMPUTED_VALUE"""),"https://www.mouser.co.uk/ProductDetail/EPCOS-TDK/B72520T0350K062?qs=dEfas%2FXlABIszF52uu7vrg%3D%3D")</f>
        <v>https://www.mouser.co.uk/ProductDetail/EPCOS-TDK/B72520T0350K062?qs=dEfas%2FXlABIszF52uu7vrg%3D%3D</v>
      </c>
      <c r="M4" s="12" t="str">
        <f ca="1">IFERROR(__xludf.DUMMYFUNCTION("""COMPUTED_VALUE""")," 17V Clamp 5A (8/20盜) Ipp Tvs Diode Surface Mount SOT-23-6 ")</f>
        <v xml:space="preserve"> 17V Clamp 5A (8/20盜) Ipp Tvs Diode Surface Mount SOT-23-6 </v>
      </c>
      <c r="N4" s="12"/>
      <c r="O4" s="12"/>
      <c r="P4" s="12" t="str">
        <f ca="1">IFERROR(__xludf.DUMMYFUNCTION("""COMPUTED_VALUE"""),"1.2mm")</f>
        <v>1.2mm</v>
      </c>
      <c r="Q4" s="12"/>
      <c r="R4" s="12" t="str">
        <f ca="1">IFERROR(__xludf.DUMMYFUNCTION("""COMPUTED_VALUE"""),"Torex")</f>
        <v>Torex</v>
      </c>
      <c r="S4" s="12" t="str">
        <f ca="1">IFERROR(__xludf.DUMMYFUNCTION("""COMPUTED_VALUE"""),"XC6220A331MR-G")</f>
        <v>XC6220A331MR-G</v>
      </c>
      <c r="T4" s="12" t="str">
        <f ca="1">IFERROR(__xludf.DUMMYFUNCTION("""COMPUTED_VALUE"""),"STMicroelectronics")</f>
        <v>STMicroelectronics</v>
      </c>
      <c r="U4" s="12"/>
      <c r="V4" s="12" t="str">
        <f ca="1">IFERROR(__xludf.DUMMYFUNCTION("""COMPUTED_VALUE"""),"755-BD5229G-TR")</f>
        <v>755-BD5229G-TR</v>
      </c>
      <c r="W4" s="13" t="str">
        <f ca="1">IFERROR(__xludf.DUMMYFUNCTION("""COMPUTED_VALUE"""),"https://www.mouser.co.uk/ProductDetail/Torex-Semiconductor/XC6220A331MR-G?qs=AsjdqWjXhJ8ZSWznL1J0gg%3D%3D")</f>
        <v>https://www.mouser.co.uk/ProductDetail/Torex-Semiconductor/XC6220A331MR-G?qs=AsjdqWjXhJ8ZSWznL1J0gg%3D%3D</v>
      </c>
      <c r="X4" s="12"/>
      <c r="Y4" s="12"/>
      <c r="Z4" s="12" t="str">
        <f ca="1">IFERROR(__xludf.DUMMYFUNCTION("""COMPUTED_VALUE"""),"USBLC6-2SC6Y")</f>
        <v>USBLC6-2SC6Y</v>
      </c>
      <c r="AA4" s="12" t="str">
        <f ca="1">IFERROR(__xludf.DUMMYFUNCTION("""COMPUTED_VALUE"""),"SOT-23-6 STMicroelectronics")</f>
        <v>SOT-23-6 STMicroelectronics</v>
      </c>
      <c r="AB4" s="12" t="str">
        <f ca="1">IFERROR(__xludf.DUMMYFUNCTION("""COMPUTED_VALUE"""),"https://www.snapeda.com/api/url_track_click_mouser/?unipart_id=179458&amp;manufacturer=ON Semiconductor&amp;part_name=MBR0530&amp;search_term=None")</f>
        <v>https://www.snapeda.com/api/url_track_click_mouser/?unipart_id=179458&amp;manufacturer=ON Semiconductor&amp;part_name=MBR0530&amp;search_term=None</v>
      </c>
      <c r="AC4" s="12"/>
      <c r="AD4" s="12" t="str">
        <f ca="1">IFERROR(__xludf.DUMMYFUNCTION("""COMPUTED_VALUE"""),"TRAN-14388")</f>
        <v>TRAN-14388</v>
      </c>
    </row>
    <row r="5" spans="1:30" x14ac:dyDescent="0.25">
      <c r="A5" s="12"/>
      <c r="B5" s="12" t="str">
        <f ca="1">IFERROR(__xludf.DUMMYFUNCTION("""COMPUTED_VALUE"""),"100uF TANT")</f>
        <v>100uF TANT</v>
      </c>
      <c r="C5" s="12" t="str">
        <f ca="1">IFERROR(__xludf.DUMMYFUNCTION("""COMPUTED_VALUE"""),"RCL_CPOL-EUCT3528")</f>
        <v>RCL_CPOL-EUCT3528</v>
      </c>
      <c r="D5" s="12" t="str">
        <f ca="1">IFERROR(__xludf.DUMMYFUNCTION("""COMPUTED_VALUE"""),"RCL_CT3528")</f>
        <v>RCL_CT3528</v>
      </c>
      <c r="E5" s="12" t="str">
        <f ca="1">IFERROR(__xludf.DUMMYFUNCTION("""COMPUTED_VALUE"""),"Cap 0.011F 3.3V 1210 Flat Check availability")</f>
        <v>Cap 0.011F 3.3V 1210 Flat Check availability</v>
      </c>
      <c r="F5" s="12"/>
      <c r="G5" s="12"/>
      <c r="H5" s="12" t="str">
        <f ca="1">IFERROR(__xludf.DUMMYFUNCTION("""COMPUTED_VALUE"""),"Unavailable")</f>
        <v>Unavailable</v>
      </c>
      <c r="I5" s="12"/>
      <c r="J5" s="12" t="str">
        <f ca="1">IFERROR(__xludf.DUMMYFUNCTION("""COMPUTED_VALUE"""),"c10")</f>
        <v>c10</v>
      </c>
      <c r="K5" s="12"/>
      <c r="L5" s="12"/>
      <c r="M5" s="12" t="str">
        <f ca="1">IFERROR(__xludf.DUMMYFUNCTION("""COMPUTED_VALUE""")," Diode Schottky 30 V 500mA Surface Mount SOD-123 ")</f>
        <v xml:space="preserve"> Diode Schottky 30 V 500mA Surface Mount SOD-123 </v>
      </c>
      <c r="N5" s="12"/>
      <c r="O5" s="12"/>
      <c r="P5" s="12" t="str">
        <f ca="1">IFERROR(__xludf.DUMMYFUNCTION("""COMPUTED_VALUE"""),"1.1mm")</f>
        <v>1.1mm</v>
      </c>
      <c r="Q5" s="12"/>
      <c r="R5" s="12" t="str">
        <f ca="1">IFERROR(__xludf.DUMMYFUNCTION("""COMPUTED_VALUE"""),"Hirose")</f>
        <v>Hirose</v>
      </c>
      <c r="S5" s="12" t="str">
        <f ca="1">IFERROR(__xludf.DUMMYFUNCTION("""COMPUTED_VALUE"""),"FH34SRJ-24S-0.5SH(99)")</f>
        <v>FH34SRJ-24S-0.5SH(99)</v>
      </c>
      <c r="T5" s="12" t="str">
        <f ca="1">IFERROR(__xludf.DUMMYFUNCTION("""COMPUTED_VALUE"""),"AVX")</f>
        <v>AVX</v>
      </c>
      <c r="U5" s="12"/>
      <c r="V5" s="12" t="str">
        <f ca="1">IFERROR(__xludf.DUMMYFUNCTION("""COMPUTED_VALUE"""),"865-XC6220A331MR-G")</f>
        <v>865-XC6220A331MR-G</v>
      </c>
      <c r="W5" s="13" t="str">
        <f ca="1">IFERROR(__xludf.DUMMYFUNCTION("""COMPUTED_VALUE"""),"https://www.mouser.co.uk/ProductDetail/Hirose-Connector/FH34SRJ-24S-0.5SH99?qs=vcbW%252B4%252BSTIpKBl5ap9J8Fw%3D%3D")</f>
        <v>https://www.mouser.co.uk/ProductDetail/Hirose-Connector/FH34SRJ-24S-0.5SH99?qs=vcbW%252B4%252BSTIpKBl5ap9J8Fw%3D%3D</v>
      </c>
      <c r="X5" s="12"/>
      <c r="Y5" s="12"/>
      <c r="Z5" s="12" t="str">
        <f ca="1">IFERROR(__xludf.DUMMYFUNCTION("""COMPUTED_VALUE"""),"MBR0530")</f>
        <v>MBR0530</v>
      </c>
      <c r="AA5" s="12" t="str">
        <f ca="1">IFERROR(__xludf.DUMMYFUNCTION("""COMPUTED_VALUE"""),"0805 (2012 metric)")</f>
        <v>0805 (2012 metric)</v>
      </c>
      <c r="AB5" s="12" t="str">
        <f ca="1">IFERROR(__xludf.DUMMYFUNCTION("""COMPUTED_VALUE"""),"https://www.snapeda.com/api/url_track_click_mouser/?unipart_id=5659453&amp;manufacturer=Littelfuse Inc.&amp;part_name=PGB1010603MR&amp;search_term=None")</f>
        <v>https://www.snapeda.com/api/url_track_click_mouser/?unipart_id=5659453&amp;manufacturer=Littelfuse Inc.&amp;part_name=PGB1010603MR&amp;search_term=None</v>
      </c>
      <c r="AC5" s="11" t="s">
        <v>131</v>
      </c>
      <c r="AD5" s="12" t="str">
        <f ca="1">IFERROR(__xludf.DUMMYFUNCTION("""COMPUTED_VALUE"""),"IC-09995")</f>
        <v>IC-09995</v>
      </c>
    </row>
    <row r="6" spans="1:30" x14ac:dyDescent="0.25">
      <c r="A6" s="12"/>
      <c r="B6" s="12" t="str">
        <f ca="1">IFERROR(__xludf.DUMMYFUNCTION("""COMPUTED_VALUE"""),"4.7uF/25V")</f>
        <v>4.7uF/25V</v>
      </c>
      <c r="C6" s="12" t="str">
        <f ca="1">IFERROR(__xludf.DUMMYFUNCTION("""COMPUTED_VALUE"""),"CPH3225A")</f>
        <v>CPH3225A</v>
      </c>
      <c r="D6" s="12" t="str">
        <f ca="1">IFERROR(__xludf.DUMMYFUNCTION("""COMPUTED_VALUE"""),"CAPCP3225X100N")</f>
        <v>CAPCP3225X100N</v>
      </c>
      <c r="E6" s="12" t="str">
        <f ca="1">IFERROR(__xludf.DUMMYFUNCTION("""COMPUTED_VALUE"""),"LED")</f>
        <v>LED</v>
      </c>
      <c r="F6" s="12"/>
      <c r="G6" s="12"/>
      <c r="H6" s="12"/>
      <c r="I6" s="12"/>
      <c r="J6" s="14" t="str">
        <f ca="1">IFERROR(__xludf.DUMMYFUNCTION("""COMPUTED_VALUE"""),"https://www.snapeda.com/parts/CPH3225A/Seiko+Instruments/view-part/?ref=eda")</f>
        <v>https://www.snapeda.com/parts/CPH3225A/Seiko+Instruments/view-part/?ref=eda</v>
      </c>
      <c r="K6" s="12"/>
      <c r="L6" s="12"/>
      <c r="M6" s="12" t="str">
        <f ca="1">IFERROR(__xludf.DUMMYFUNCTION("""COMPUTED_VALUE""")," 150V (Typ) Clamp - Ipp Tvs Diode Surface Mount 0603 (1608 Metric) ")</f>
        <v xml:space="preserve"> 150V (Typ) Clamp - Ipp Tvs Diode Surface Mount 0603 (1608 Metric) </v>
      </c>
      <c r="N6" s="12"/>
      <c r="O6" s="12"/>
      <c r="P6" s="12" t="str">
        <f ca="1">IFERROR(__xludf.DUMMYFUNCTION("""COMPUTED_VALUE"""),"3.26mm")</f>
        <v>3.26mm</v>
      </c>
      <c r="Q6" s="12"/>
      <c r="R6" s="12" t="str">
        <f ca="1">IFERROR(__xludf.DUMMYFUNCTION("""COMPUTED_VALUE"""),"GCT (GLOBAL CONNECTOR TECHNOLOGY)")</f>
        <v>GCT (GLOBAL CONNECTOR TECHNOLOGY)</v>
      </c>
      <c r="S6" s="12" t="str">
        <f ca="1">IFERROR(__xludf.DUMMYFUNCTION("""COMPUTED_VALUE"""),"USB4110-GF-A")</f>
        <v>USB4110-GF-A</v>
      </c>
      <c r="T6" s="12" t="str">
        <f ca="1">IFERROR(__xludf.DUMMYFUNCTION("""COMPUTED_VALUE"""),"ON Semiconductor")</f>
        <v>ON Semiconductor</v>
      </c>
      <c r="U6" s="12"/>
      <c r="V6" s="12" t="str">
        <f ca="1">IFERROR(__xludf.DUMMYFUNCTION("""COMPUTED_VALUE"""),"798-FH34SRJ24S05SH99")</f>
        <v>798-FH34SRJ24S05SH99</v>
      </c>
      <c r="W6" s="13" t="str">
        <f ca="1">IFERROR(__xludf.DUMMYFUNCTION("""COMPUTED_VALUE"""),"https://www.mouser.co.uk/ProductDetail/GCT/USB4110-GF-A?qs=KUoIvG%2F9IlYiZvIXQjyJeA%3D%3D")</f>
        <v>https://www.mouser.co.uk/ProductDetail/GCT/USB4110-GF-A?qs=KUoIvG%2F9IlYiZvIXQjyJeA%3D%3D</v>
      </c>
      <c r="X6" s="12"/>
      <c r="Y6" s="12"/>
      <c r="Z6" s="12" t="str">
        <f ca="1">IFERROR(__xludf.DUMMYFUNCTION("""COMPUTED_VALUE"""),"PGB1010603MR")</f>
        <v>PGB1010603MR</v>
      </c>
      <c r="AA6" s="12" t="str">
        <f ca="1">IFERROR(__xludf.DUMMYFUNCTION("""COMPUTED_VALUE"""),"SOD-123-2 ON Semiconductor")</f>
        <v>SOD-123-2 ON Semiconductor</v>
      </c>
      <c r="AB6" s="12" t="str">
        <f ca="1">IFERROR(__xludf.DUMMYFUNCTION("""COMPUTED_VALUE"""),"https://www.snapeda.com/api/url_track_click_mouser/?unipart_id=274603&amp;manufacturer=Vishay Siliconix&amp;part_name=SI1308EDL-T1-GE3&amp;search_term=None")</f>
        <v>https://www.snapeda.com/api/url_track_click_mouser/?unipart_id=274603&amp;manufacturer=Vishay Siliconix&amp;part_name=SI1308EDL-T1-GE3&amp;search_term=None</v>
      </c>
      <c r="AC6" s="12"/>
      <c r="AD6" s="12"/>
    </row>
    <row r="7" spans="1:30" x14ac:dyDescent="0.25">
      <c r="A7" s="12"/>
      <c r="B7" s="12" t="str">
        <f ca="1">IFERROR(__xludf.DUMMYFUNCTION("""COMPUTED_VALUE"""),"1uF")</f>
        <v>1uF</v>
      </c>
      <c r="C7" s="12" t="str">
        <f ca="1">IFERROR(__xludf.DUMMYFUNCTION("""COMPUTED_VALUE"""),"ADAFRUIT_LEDCHIP-LED0603")</f>
        <v>ADAFRUIT_LEDCHIP-LED0603</v>
      </c>
      <c r="D7" s="12" t="str">
        <f ca="1">IFERROR(__xludf.DUMMYFUNCTION("""COMPUTED_VALUE"""),"ADAFRUIT_CHIP-LED0603")</f>
        <v>ADAFRUIT_CHIP-LED0603</v>
      </c>
      <c r="E7" s="12" t="str">
        <f ca="1">IFERROR(__xludf.DUMMYFUNCTION("""COMPUTED_VALUE"""),"Low Cap. ESD Protection Auto SOT-23-6 STMicroelectronics USBLC6-2SC6Y, Dual Uni-Directional TVS Diode Array, 6-Pin SOT-23")</f>
        <v>Low Cap. ESD Protection Auto SOT-23-6 STMicroelectronics USBLC6-2SC6Y, Dual Uni-Directional TVS Diode Array, 6-Pin SOT-23</v>
      </c>
      <c r="F7" s="12"/>
      <c r="G7" s="12"/>
      <c r="H7" s="12"/>
      <c r="I7" s="12"/>
      <c r="J7" s="16" t="str">
        <f ca="1">IFERROR(__xludf.DUMMYFUNCTION("""COMPUTED_VALUE"""),"https://www.snapeda.com/parts/KP-1608SURCK/Kingbright/view-part/?ref=search&amp;t=LED%200603 SAU https://www.snapeda.com/parts/7012X1/VCC/view-part/?ref=search&amp;t=led")</f>
        <v>https://www.snapeda.com/parts/KP-1608SURCK/Kingbright/view-part/?ref=search&amp;t=LED%200603 SAU https://www.snapeda.com/parts/7012X1/VCC/view-part/?ref=search&amp;t=led</v>
      </c>
      <c r="K7" s="12"/>
      <c r="L7" s="12"/>
      <c r="M7" s="12" t="str">
        <f ca="1">IFERROR(__xludf.DUMMYFUNCTION("""COMPUTED_VALUE"""),"Voltage Detector with Adjustable Delay Time: CMOS processes are utilized to develop high precision, low current consumption CMOS reset ICs that allow arbitrary setting of the delay time. The extensive lineup includes both Nch Open Drain and CMOS output ty"&amp;"pes in a wide range of detection voltages (from 2.3V to 6.0V, in 0.1V steps), enabling selection of the ideal solution based on customer requirements. In addition, the entire series is of course both lead-free and RoHS-compliant.")</f>
        <v>Voltage Detector with Adjustable Delay Time: CMOS processes are utilized to develop high precision, low current consumption CMOS reset ICs that allow arbitrary setting of the delay time. The extensive lineup includes both Nch Open Drain and CMOS output types in a wide range of detection voltages (from 2.3V to 6.0V, in 0.1V steps), enabling selection of the ideal solution based on customer requirements. In addition, the entire series is of course both lead-free and RoHS-compliant.</v>
      </c>
      <c r="N7" s="12"/>
      <c r="O7" s="12"/>
      <c r="P7" s="12" t="str">
        <f ca="1">IFERROR(__xludf.DUMMYFUNCTION("""COMPUTED_VALUE"""),"1.9mm")</f>
        <v>1.9mm</v>
      </c>
      <c r="Q7" s="12"/>
      <c r="R7" s="12" t="str">
        <f ca="1">IFERROR(__xludf.DUMMYFUNCTION("""COMPUTED_VALUE"""),"ATTEND")</f>
        <v>ATTEND</v>
      </c>
      <c r="S7" s="12" t="str">
        <f ca="1">IFERROR(__xludf.DUMMYFUNCTION("""COMPUTED_VALUE"""),"112A-TAAR-R03 ATTEND")</f>
        <v>112A-TAAR-R03 ATTEND</v>
      </c>
      <c r="T7" s="12" t="str">
        <f ca="1">IFERROR(__xludf.DUMMYFUNCTION("""COMPUTED_VALUE"""),"Littelfuse Inc.")</f>
        <v>Littelfuse Inc.</v>
      </c>
      <c r="U7" s="12"/>
      <c r="V7" s="12" t="str">
        <f ca="1">IFERROR(__xludf.DUMMYFUNCTION("""COMPUTED_VALUE"""),"640-USB4110-GF-A")</f>
        <v>640-USB4110-GF-A</v>
      </c>
      <c r="W7" s="12"/>
      <c r="X7" s="12"/>
      <c r="Y7" s="12"/>
      <c r="Z7" s="12" t="str">
        <f ca="1">IFERROR(__xludf.DUMMYFUNCTION("""COMPUTED_VALUE"""),"SI1308EDL-T1-GE3")</f>
        <v>SI1308EDL-T1-GE3</v>
      </c>
      <c r="AA7" s="12" t="str">
        <f ca="1">IFERROR(__xludf.DUMMYFUNCTION("""COMPUTED_VALUE"""),"0603 Littelfuse Inc.")</f>
        <v>0603 Littelfuse Inc.</v>
      </c>
      <c r="AB7" s="12" t="str">
        <f ca="1">IFERROR(__xludf.DUMMYFUNCTION("""COMPUTED_VALUE"""),"https://www.snapeda.com/api/url_track_click_mouser/?unipart_id=99048&amp;manufacturer=Analog Devices&amp;part_name=DS3231SN#&amp;search_term=None")</f>
        <v>https://www.snapeda.com/api/url_track_click_mouser/?unipart_id=99048&amp;manufacturer=Analog Devices&amp;part_name=DS3231SN#&amp;search_term=None</v>
      </c>
      <c r="AC7" s="12"/>
      <c r="AD7" s="12"/>
    </row>
    <row r="8" spans="1:30" x14ac:dyDescent="0.25">
      <c r="A8" s="12"/>
      <c r="B8" s="12" t="str">
        <f ca="1">IFERROR(__xludf.DUMMYFUNCTION("""COMPUTED_VALUE"""),"4.7湩")</f>
        <v>4.7湩</v>
      </c>
      <c r="C8" s="12" t="str">
        <f ca="1">IFERROR(__xludf.DUMMYFUNCTION("""COMPUTED_VALUE"""),"USBLC6-2SC6Y")</f>
        <v>USBLC6-2SC6Y</v>
      </c>
      <c r="D8" s="12" t="str">
        <f ca="1">IFERROR(__xludf.DUMMYFUNCTION("""COMPUTED_VALUE"""),"SOT95P280X145-6N")</f>
        <v>SOT95P280X145-6N</v>
      </c>
      <c r="E8" s="12" t="str">
        <f ca="1">IFERROR(__xludf.DUMMYFUNCTION("""COMPUTED_VALUE"""),"Schottky Barrier Rectifier Diode")</f>
        <v>Schottky Barrier Rectifier Diode</v>
      </c>
      <c r="F8" s="12"/>
      <c r="G8" s="12"/>
      <c r="H8" s="12"/>
      <c r="I8" s="12"/>
      <c r="J8" s="14" t="str">
        <f ca="1">IFERROR(__xludf.DUMMYFUNCTION("""COMPUTED_VALUE"""),"https://www.snapeda.com/parts/USBLC6-2SC6Y/STMicroelectronics/view-part/?ref=eda")</f>
        <v>https://www.snapeda.com/parts/USBLC6-2SC6Y/STMicroelectronics/view-part/?ref=eda</v>
      </c>
      <c r="K8" s="12"/>
      <c r="L8" s="12"/>
      <c r="M8" s="12" t="str">
        <f ca="1">IFERROR(__xludf.DUMMYFUNCTION("""COMPUTED_VALUE"""),"LDO Voltage Regulators")</f>
        <v>LDO Voltage Regulators</v>
      </c>
      <c r="N8" s="12"/>
      <c r="O8" s="12"/>
      <c r="P8" s="12"/>
      <c r="Q8" s="12"/>
      <c r="R8" s="12"/>
      <c r="S8" s="12">
        <f ca="1">IFERROR(__xludf.DUMMYFUNCTION("""COMPUTED_VALUE"""),744043680)</f>
        <v>744043680</v>
      </c>
      <c r="T8" s="12" t="str">
        <f ca="1">IFERROR(__xludf.DUMMYFUNCTION("""COMPUTED_VALUE"""),"Vishay Siliconix")</f>
        <v>Vishay Siliconix</v>
      </c>
      <c r="U8" s="12"/>
      <c r="V8" s="12"/>
      <c r="W8" s="12"/>
      <c r="X8" s="12"/>
      <c r="Y8" s="12"/>
      <c r="Z8" s="12" t="str">
        <f ca="1">IFERROR(__xludf.DUMMYFUNCTION("""COMPUTED_VALUE"""),"BME680")</f>
        <v>BME680</v>
      </c>
      <c r="AA8" s="12" t="str">
        <f ca="1">IFERROR(__xludf.DUMMYFUNCTION("""COMPUTED_VALUE"""),"SOT-323 Vishay Semiconductor")</f>
        <v>SOT-323 Vishay Semiconductor</v>
      </c>
      <c r="AB8" s="12" t="str">
        <f ca="1">IFERROR(__xludf.DUMMYFUNCTION("""COMPUTED_VALUE"""),"https://www.snapeda.com/api/url_track_click_mouser/?unipart_id=329239&amp;manufacturer=Analog Devices&amp;part_name=MAX17048G+T10&amp;search_term=None")</f>
        <v>https://www.snapeda.com/api/url_track_click_mouser/?unipart_id=329239&amp;manufacturer=Analog Devices&amp;part_name=MAX17048G+T10&amp;search_term=None</v>
      </c>
      <c r="AC8" s="12"/>
      <c r="AD8" s="12"/>
    </row>
    <row r="9" spans="1:30" x14ac:dyDescent="0.25">
      <c r="A9" s="12"/>
      <c r="B9" s="12" t="str">
        <f ca="1">IFERROR(__xludf.DUMMYFUNCTION("""COMPUTED_VALUE"""),"10uF")</f>
        <v>10uF</v>
      </c>
      <c r="C9" s="12" t="str">
        <f ca="1">IFERROR(__xludf.DUMMYFUNCTION("""COMPUTED_VALUE"""),"ESP32_WROVER_AVX---SD0805S020S1R0_AVX_SD0805S020S1R0_0_0AVX_SD0805S020S1R0_0_0")</f>
        <v>ESP32_WROVER_AVX---SD0805S020S1R0_AVX_SD0805S020S1R0_0_0AVX_SD0805S020S1R0_0_0</v>
      </c>
      <c r="D9" s="12" t="str">
        <f ca="1">IFERROR(__xludf.DUMMYFUNCTION("""COMPUTED_VALUE"""),"ESP32_WROVER_AVX---SD0805S020S1R0_AVX_SD0805S020S1R0_0")</f>
        <v>ESP32_WROVER_AVX---SD0805S020S1R0_AVX_SD0805S020S1R0_0</v>
      </c>
      <c r="E9" s="12" t="str">
        <f ca="1">IFERROR(__xludf.DUMMYFUNCTION("""COMPUTED_VALUE"""),"ON SEMICONDUCTOR - MBR0530 - DIODE, SCHOTTKY, 0.5A, 30V, SOD-123")</f>
        <v>ON SEMICONDUCTOR - MBR0530 - DIODE, SCHOTTKY, 0.5A, 30V, SOD-123</v>
      </c>
      <c r="F9" s="12"/>
      <c r="G9" s="12"/>
      <c r="H9" s="12"/>
      <c r="I9" s="12"/>
      <c r="J9" s="13" t="str">
        <f ca="1">IFERROR(__xludf.DUMMYFUNCTION("""COMPUTED_VALUE"""),"https://eu.mouser.com/ProductDetail/KYOCERA-AVX/SD0805S020S1R0?qs=jCA%252BPfw4LHbpkAoSnwrdjw%3D%3D")</f>
        <v>https://eu.mouser.com/ProductDetail/KYOCERA-AVX/SD0805S020S1R0?qs=jCA%252BPfw4LHbpkAoSnwrdjw%3D%3D</v>
      </c>
      <c r="K9" s="12"/>
      <c r="L9" s="12"/>
      <c r="M9" s="12" t="str">
        <f ca="1">IFERROR(__xludf.DUMMYFUNCTION("""COMPUTED_VALUE"""),"24 Position FFC, FPC Connector Contacts, Top and Bottom 0.020 (0.50mm) Surface Mount, Right Angle""")</f>
        <v>24 Position FFC, FPC Connector Contacts, Top and Bottom 0.020 (0.50mm) Surface Mount, Right Angle"</v>
      </c>
      <c r="N9" s="12"/>
      <c r="O9" s="12"/>
      <c r="P9" s="12"/>
      <c r="Q9" s="12"/>
      <c r="R9" s="12"/>
      <c r="S9" s="12"/>
      <c r="T9" s="12" t="str">
        <f ca="1">IFERROR(__xludf.DUMMYFUNCTION("""COMPUTED_VALUE"""),"Bosch Sensortec")</f>
        <v>Bosch Sensortec</v>
      </c>
      <c r="U9" s="12"/>
      <c r="V9" s="12"/>
      <c r="W9" s="12"/>
      <c r="X9" s="12"/>
      <c r="Y9" s="12"/>
      <c r="Z9" s="12" t="str">
        <f ca="1">IFERROR(__xludf.DUMMYFUNCTION("""COMPUTED_VALUE"""),"W25Q512JVEIQ")</f>
        <v>W25Q512JVEIQ</v>
      </c>
      <c r="AA9" s="12" t="str">
        <f ca="1">IFERROR(__xludf.DUMMYFUNCTION("""COMPUTED_VALUE"""),"LGA-8 Bosch Tools")</f>
        <v>LGA-8 Bosch Tools</v>
      </c>
      <c r="AB9" s="12"/>
      <c r="AC9" s="12"/>
      <c r="AD9" s="12"/>
    </row>
    <row r="10" spans="1:30" x14ac:dyDescent="0.25">
      <c r="A10" s="12"/>
      <c r="B10" s="12" t="str">
        <f ca="1">IFERROR(__xludf.DUMMYFUNCTION("""COMPUTED_VALUE"""),"CPH3225A")</f>
        <v>CPH3225A</v>
      </c>
      <c r="C10" s="12" t="str">
        <f ca="1">IFERROR(__xludf.DUMMYFUNCTION("""COMPUTED_VALUE"""),"MBR0530")</f>
        <v>MBR0530</v>
      </c>
      <c r="D10" s="12" t="str">
        <f ca="1">IFERROR(__xludf.DUMMYFUNCTION("""COMPUTED_VALUE"""),"SOD3716X135N")</f>
        <v>SOD3716X135N</v>
      </c>
      <c r="E10" s="12" t="str">
        <f ca="1">IFERROR(__xludf.DUMMYFUNCTION("""COMPUTED_VALUE"""),"Check availability")</f>
        <v>Check availability</v>
      </c>
      <c r="F10" s="12"/>
      <c r="G10" s="12"/>
      <c r="H10" s="12"/>
      <c r="I10" s="12"/>
      <c r="J10" s="13" t="str">
        <f ca="1">IFERROR(__xludf.DUMMYFUNCTION("""COMPUTED_VALUE"""),"https://www.snapeda.com/parts/MBR0530/Onsemi/view-part/?ref=eda")</f>
        <v>https://www.snapeda.com/parts/MBR0530/Onsemi/view-part/?ref=eda</v>
      </c>
      <c r="K10" s="12"/>
      <c r="L10" s="12"/>
      <c r="M10" s="12" t="str">
        <f ca="1">IFERROR(__xludf.DUMMYFUNCTION("""COMPUTED_VALUE"""),"CONN USB 2.0 TYPE-C R/A SMT")</f>
        <v>CONN USB 2.0 TYPE-C R/A SMT</v>
      </c>
      <c r="N10" s="12"/>
      <c r="O10" s="12"/>
      <c r="P10" s="12"/>
      <c r="Q10" s="12"/>
      <c r="R10" s="12"/>
      <c r="S10" s="12"/>
      <c r="T10" s="12" t="str">
        <f ca="1">IFERROR(__xludf.DUMMYFUNCTION("""COMPUTED_VALUE"""),"Winbond Electronics")</f>
        <v>Winbond Electronics</v>
      </c>
      <c r="U10" s="12"/>
      <c r="V10" s="12"/>
      <c r="W10" s="12"/>
      <c r="X10" s="12"/>
      <c r="Y10" s="12"/>
      <c r="Z10" s="12" t="str">
        <f ca="1">IFERROR(__xludf.DUMMYFUNCTION("""COMPUTED_VALUE"""),"ESP32-C6-WROOM-1-N8")</f>
        <v>ESP32-C6-WROOM-1-N8</v>
      </c>
      <c r="AA10" s="12" t="str">
        <f ca="1">IFERROR(__xludf.DUMMYFUNCTION("""COMPUTED_VALUE"""),"Package ")</f>
        <v xml:space="preserve">Package </v>
      </c>
      <c r="AB10" s="12"/>
      <c r="AC10" s="12"/>
      <c r="AD10" s="12"/>
    </row>
    <row r="11" spans="1:30" x14ac:dyDescent="0.25">
      <c r="A11" s="12"/>
      <c r="B11" s="12"/>
      <c r="C11" s="12" t="str">
        <f ca="1">IFERROR(__xludf.DUMMYFUNCTION("""COMPUTED_VALUE"""),"PGB1010603MR")</f>
        <v>PGB1010603MR</v>
      </c>
      <c r="D11" s="12" t="str">
        <f ca="1">IFERROR(__xludf.DUMMYFUNCTION("""COMPUTED_VALUE"""),"DIOC1608X36N")</f>
        <v>DIOC1608X36N</v>
      </c>
      <c r="E11" s="12" t="str">
        <f ca="1">IFERROR(__xludf.DUMMYFUNCTION("""COMPUTED_VALUE"""),"Voltage Detector with Adjustable Delay Time: CMOS processes are utilized to develop high precision, low current consumption CMOS reset ICs that allow arbitrary setting of the delay time. The extensive lineup includes both Nch Open Drain and CMOS output ty"&amp;"pes in a wide range of detection voltages (from 2.3V to 6.0V, in 0.1V steps), enabling selection of the ideal solution based on customer requirements. In addition, the entire series is of course both lead-free and RoHS-compliant.")</f>
        <v>Voltage Detector with Adjustable Delay Time: CMOS processes are utilized to develop high precision, low current consumption CMOS reset ICs that allow arbitrary setting of the delay time. The extensive lineup includes both Nch Open Drain and CMOS output types in a wide range of detection voltages (from 2.3V to 6.0V, in 0.1V steps), enabling selection of the ideal solution based on customer requirements. In addition, the entire series is of course both lead-free and RoHS-compliant.</v>
      </c>
      <c r="F11" s="12"/>
      <c r="G11" s="12"/>
      <c r="H11" s="12"/>
      <c r="I11" s="12"/>
      <c r="J11" s="13" t="str">
        <f ca="1">IFERROR(__xludf.DUMMYFUNCTION("""COMPUTED_VALUE"""),"https://www.snapeda.com/parts/PGB1010603MR/Littelfuse/view-part/?ref=eda")</f>
        <v>https://www.snapeda.com/parts/PGB1010603MR/Littelfuse/view-part/?ref=eda</v>
      </c>
      <c r="K11" s="12"/>
      <c r="L11" s="12"/>
      <c r="M11" s="12" t="str">
        <f ca="1">IFERROR(__xludf.DUMMYFUNCTION("""COMPUTED_VALUE"""),"Micro SD Card Socket, Push-Push Type, Top Mount, SMT, H=1.83mm, 10u")</f>
        <v>Micro SD Card Socket, Push-Push Type, Top Mount, SMT, H=1.83mm, 10u</v>
      </c>
      <c r="N11" s="12"/>
      <c r="O11" s="12"/>
      <c r="P11" s="12"/>
      <c r="Q11" s="12"/>
      <c r="R11" s="12"/>
      <c r="S11" s="12"/>
      <c r="T11" s="12" t="str">
        <f ca="1">IFERROR(__xludf.DUMMYFUNCTION("""COMPUTED_VALUE"""),"Espressif Systems")</f>
        <v>Espressif Systems</v>
      </c>
      <c r="U11" s="12"/>
      <c r="V11" s="12"/>
      <c r="W11" s="12"/>
      <c r="X11" s="12"/>
      <c r="Y11" s="12"/>
      <c r="Z11" s="12" t="str">
        <f ca="1">IFERROR(__xludf.DUMMYFUNCTION("""COMPUTED_VALUE"""),"DS3231SN#")</f>
        <v>DS3231SN#</v>
      </c>
      <c r="AA11" s="12" t="str">
        <f ca="1">IFERROR(__xludf.DUMMYFUNCTION("""COMPUTED_VALUE"""),"None")</f>
        <v>None</v>
      </c>
      <c r="AB11" s="12"/>
      <c r="AC11" s="12"/>
      <c r="AD11" s="12"/>
    </row>
    <row r="12" spans="1:30" x14ac:dyDescent="0.25">
      <c r="A12" s="12"/>
      <c r="B12" s="12" t="str">
        <f ca="1">IFERROR(__xludf.DUMMYFUNCTION("""COMPUTED_VALUE"""),"USBLC6-2SC6Y")</f>
        <v>USBLC6-2SC6Y</v>
      </c>
      <c r="C12" s="12" t="str">
        <f ca="1">IFERROR(__xludf.DUMMYFUNCTION("""COMPUTED_VALUE"""),"BD5229G-TR")</f>
        <v>BD5229G-TR</v>
      </c>
      <c r="D12" s="12" t="str">
        <f ca="1">IFERROR(__xludf.DUMMYFUNCTION("""COMPUTED_VALUE"""),"SOT95P280X125-5N")</f>
        <v>SOT95P280X125-5N</v>
      </c>
      <c r="E12" s="12" t="str">
        <f ca="1">IFERROR(__xludf.DUMMYFUNCTION("""COMPUTED_VALUE"""),"LDO Voltage Regulators")</f>
        <v>LDO Voltage Regulators</v>
      </c>
      <c r="F12" s="12"/>
      <c r="G12" s="12"/>
      <c r="H12" s="12"/>
      <c r="I12" s="12"/>
      <c r="J12" s="13" t="str">
        <f ca="1">IFERROR(__xludf.DUMMYFUNCTION("""COMPUTED_VALUE"""),"https://componentsearchengine.com/part-view/BD5229G-TR/ROHM%20Semiconductor")</f>
        <v>https://componentsearchengine.com/part-view/BD5229G-TR/ROHM%20Semiconductor</v>
      </c>
      <c r="K12" s="12"/>
      <c r="L12" s="12"/>
      <c r="M12" s="12" t="str">
        <f ca="1">IFERROR(__xludf.DUMMYFUNCTION("""COMPUTED_VALUE""")," Si1308EDL-T1-GE3 N-channel MOSFET Transistor, 1.5 A, 30 V, 3-Pin SC-70 | Siliconix / Vishay SI1308EDL-T1-GE3 ")</f>
        <v xml:space="preserve"> Si1308EDL-T1-GE3 N-channel MOSFET Transistor, 1.5 A, 30 V, 3-Pin SC-70 | Siliconix / Vishay SI1308EDL-T1-GE3 </v>
      </c>
      <c r="N12" s="12"/>
      <c r="O12" s="12"/>
      <c r="P12" s="12"/>
      <c r="Q12" s="12"/>
      <c r="R12" s="12"/>
      <c r="S12" s="12"/>
      <c r="T12" s="12" t="str">
        <f ca="1">IFERROR(__xludf.DUMMYFUNCTION("""COMPUTED_VALUE"""),"Analog Devices")</f>
        <v>Analog Devices</v>
      </c>
      <c r="U12" s="12"/>
      <c r="V12" s="12"/>
      <c r="W12" s="12"/>
      <c r="X12" s="12"/>
      <c r="Y12" s="12"/>
      <c r="Z12" s="12" t="str">
        <f ca="1">IFERROR(__xludf.DUMMYFUNCTION("""COMPUTED_VALUE"""),"MAX17048G+T10")</f>
        <v>MAX17048G+T10</v>
      </c>
      <c r="AA12" s="12" t="str">
        <f ca="1">IFERROR(__xludf.DUMMYFUNCTION("""COMPUTED_VALUE"""),"SOIC-16 Maxim")</f>
        <v>SOIC-16 Maxim</v>
      </c>
      <c r="AB12" s="12"/>
      <c r="AC12" s="12"/>
      <c r="AD12" s="12"/>
    </row>
    <row r="13" spans="1:30" x14ac:dyDescent="0.25">
      <c r="A13" s="12"/>
      <c r="B13" s="12" t="str">
        <f ca="1">IFERROR(__xludf.DUMMYFUNCTION("""COMPUTED_VALUE"""),"ESP32_WROVER_AVX---SD0805S020S1R0_AVX_SD0805S020S1R0_0_0AVX_SD0805S020S1R0_0_0")</f>
        <v>ESP32_WROVER_AVX---SD0805S020S1R0_AVX_SD0805S020S1R0_0_0AVX_SD0805S020S1R0_0_0</v>
      </c>
      <c r="C13" s="12" t="str">
        <f ca="1">IFERROR(__xludf.DUMMYFUNCTION("""COMPUTED_VALUE"""),"XC6220A331MR-G")</f>
        <v>XC6220A331MR-G</v>
      </c>
      <c r="D13" s="12" t="str">
        <f ca="1">IFERROR(__xludf.DUMMYFUNCTION("""COMPUTED_VALUE"""),"SOT95P280X120-5N")</f>
        <v>SOT95P280X120-5N</v>
      </c>
      <c r="E13" s="12" t="str">
        <f ca="1">IFERROR(__xludf.DUMMYFUNCTION("""COMPUTED_VALUE"""),"24 Position FFC, FPC Connector Contacts, Top and Bottom 0.020 (0.50mm) Surface Mount, Right Angle""")</f>
        <v>24 Position FFC, FPC Connector Contacts, Top and Bottom 0.020 (0.50mm) Surface Mount, Right Angle"</v>
      </c>
      <c r="F13" s="12"/>
      <c r="G13" s="12"/>
      <c r="H13" s="12"/>
      <c r="I13" s="12"/>
      <c r="J13" s="13" t="str">
        <f ca="1">IFERROR(__xludf.DUMMYFUNCTION("""COMPUTED_VALUE"""),"https://componentsearchengine.com/part-view/XC6220A331MR-G/Torex")</f>
        <v>https://componentsearchengine.com/part-view/XC6220A331MR-G/Torex</v>
      </c>
      <c r="K13" s="12"/>
      <c r="L13" s="12"/>
      <c r="M13" s="12" t="str">
        <f ca="1">IFERROR(__xludf.DUMMYFUNCTION("""COMPUTED_VALUE""")," Integrated Environmental Unit ")</f>
        <v xml:space="preserve"> Integrated Environmental Unit </v>
      </c>
      <c r="N13" s="12"/>
      <c r="O13" s="12"/>
      <c r="P13" s="12"/>
      <c r="Q13" s="12"/>
      <c r="R13" s="12"/>
      <c r="S13" s="12"/>
      <c r="T13" s="12"/>
      <c r="U13" s="12"/>
      <c r="V13" s="12"/>
      <c r="W13" s="12"/>
      <c r="X13" s="12"/>
      <c r="Y13" s="12"/>
      <c r="Z13" s="12"/>
      <c r="AA13" s="12" t="str">
        <f ca="1">IFERROR(__xludf.DUMMYFUNCTION("""COMPUTED_VALUE"""),"TDFN-8 Maxim")</f>
        <v>TDFN-8 Maxim</v>
      </c>
      <c r="AB13" s="12"/>
      <c r="AC13" s="12"/>
      <c r="AD13" s="12"/>
    </row>
    <row r="14" spans="1:30" x14ac:dyDescent="0.25">
      <c r="A14" s="12"/>
      <c r="B14" s="12" t="str">
        <f ca="1">IFERROR(__xludf.DUMMYFUNCTION("""COMPUTED_VALUE"""),"MBR0530")</f>
        <v>MBR0530</v>
      </c>
      <c r="C14" s="12" t="str">
        <f ca="1">IFERROR(__xludf.DUMMYFUNCTION("""COMPUTED_VALUE"""),"FH34SRJ-24S-0.5SH_99_")</f>
        <v>FH34SRJ-24S-0.5SH_99_</v>
      </c>
      <c r="D14" s="12" t="str">
        <f ca="1">IFERROR(__xludf.DUMMYFUNCTION("""COMPUTED_VALUE"""),"FH34SRJ24S05SH99")</f>
        <v>FH34SRJ24S05SH99</v>
      </c>
      <c r="E14" s="12" t="str">
        <f ca="1">IFERROR(__xludf.DUMMYFUNCTION("""COMPUTED_VALUE"""),"CONN USB 2.0 TYPE-C R/A SMT")</f>
        <v>CONN USB 2.0 TYPE-C R/A SMT</v>
      </c>
      <c r="F14" s="12"/>
      <c r="G14" s="12"/>
      <c r="H14" s="12"/>
      <c r="I14" s="12"/>
      <c r="J14" s="13" t="str">
        <f ca="1">IFERROR(__xludf.DUMMYFUNCTION("""COMPUTED_VALUE"""),"https://componentsearchengine.com/part-view/USB4110-GF-A/GCT%20(GLOBAL%20CONNECTOR%20TECHNOLOGY)")</f>
        <v>https://componentsearchengine.com/part-view/USB4110-GF-A/GCT%20(GLOBAL%20CONNECTOR%20TECHNOLOGY)</v>
      </c>
      <c r="K14" s="12"/>
      <c r="L14" s="12"/>
      <c r="M14" s="12" t="str">
        <f ca="1">IFERROR(__xludf.DUMMYFUNCTION("""COMPUTED_VALUE""")," FLASH - NOR Memory IC 512Mb (64M x 8) SPI - Quad I/O 133 MHz 8-WSON (8x6) ")</f>
        <v xml:space="preserve"> FLASH - NOR Memory IC 512Mb (64M x 8) SPI - Quad I/O 133 MHz 8-WSON (8x6) </v>
      </c>
      <c r="N14" s="12"/>
      <c r="O14" s="12"/>
      <c r="P14" s="12"/>
      <c r="Q14" s="12"/>
      <c r="R14" s="12"/>
      <c r="S14" s="12"/>
      <c r="T14" s="12"/>
      <c r="U14" s="12"/>
      <c r="V14" s="12"/>
      <c r="W14" s="12"/>
      <c r="X14" s="12"/>
      <c r="Y14" s="12"/>
      <c r="Z14" s="12"/>
      <c r="AA14" s="12"/>
      <c r="AB14" s="12"/>
      <c r="AC14" s="12"/>
      <c r="AD14" s="12"/>
    </row>
    <row r="15" spans="1:30" x14ac:dyDescent="0.25">
      <c r="A15" s="12"/>
      <c r="B15" s="12" t="str">
        <f ca="1">IFERROR(__xludf.DUMMYFUNCTION("""COMPUTED_VALUE"""),"PGB1010603MR")</f>
        <v>PGB1010603MR</v>
      </c>
      <c r="C15" s="12" t="str">
        <f ca="1">IFERROR(__xludf.DUMMYFUNCTION("""COMPUTED_VALUE"""),"SAMACSYS_PARTS_USB4110-GF-A")</f>
        <v>SAMACSYS_PARTS_USB4110-GF-A</v>
      </c>
      <c r="D15" s="12" t="str">
        <f ca="1">IFERROR(__xludf.DUMMYFUNCTION("""COMPUTED_VALUE"""),"SAMACSYS_PARTS_USB4110GFA")</f>
        <v>SAMACSYS_PARTS_USB4110GFA</v>
      </c>
      <c r="E15" s="12" t="str">
        <f ca="1">IFERROR(__xludf.DUMMYFUNCTION("""COMPUTED_VALUE"""),"SparkFun I2C Standard Qwiic Connector")</f>
        <v>SparkFun I2C Standard Qwiic Connector</v>
      </c>
      <c r="F15" s="12"/>
      <c r="G15" s="12"/>
      <c r="H15" s="12"/>
      <c r="I15" s="12"/>
      <c r="J15" s="13" t="str">
        <f ca="1">IFERROR(__xludf.DUMMYFUNCTION("""COMPUTED_VALUE"""),"4208 Adafruit | Mouser")</f>
        <v>4208 Adafruit | Mouser</v>
      </c>
      <c r="K15" s="12"/>
      <c r="L15" s="12"/>
      <c r="M15" s="12" t="str">
        <f ca="1">IFERROR(__xludf.DUMMYFUNCTION("""COMPUTED_VALUE""")," Multiprotocol Modules ESP32-C6 module, Wi-Fi 6 in 2.4 GHz band, Bluetooth 5, Zigbee 3.0 and Thread. ESP34-WROOM Compatible - ENGINEERING SAMPLE ")</f>
        <v xml:space="preserve"> Multiprotocol Modules ESP32-C6 module, Wi-Fi 6 in 2.4 GHz band, Bluetooth 5, Zigbee 3.0 and Thread. ESP34-WROOM Compatible - ENGINEERING SAMPLE </v>
      </c>
      <c r="N15" s="12"/>
      <c r="O15" s="12"/>
      <c r="P15" s="12"/>
      <c r="Q15" s="12"/>
      <c r="R15" s="12"/>
      <c r="S15" s="12"/>
      <c r="T15" s="12"/>
      <c r="U15" s="12"/>
      <c r="V15" s="12"/>
      <c r="W15" s="12"/>
      <c r="X15" s="12"/>
      <c r="Y15" s="12"/>
      <c r="Z15" s="12"/>
      <c r="AA15" s="12"/>
      <c r="AB15" s="12"/>
      <c r="AC15" s="12"/>
      <c r="AD15" s="12"/>
    </row>
    <row r="16" spans="1:30" x14ac:dyDescent="0.25">
      <c r="A16" s="12"/>
      <c r="B16" s="12" t="str">
        <f ca="1">IFERROR(__xludf.DUMMYFUNCTION("""COMPUTED_VALUE"""),"1uF/50V")</f>
        <v>1uF/50V</v>
      </c>
      <c r="C16" s="12" t="str">
        <f ca="1">IFERROR(__xludf.DUMMYFUNCTION("""COMPUTED_VALUE"""),"QWIIC_CONNECTORJS-1MM")</f>
        <v>QWIIC_CONNECTORJS-1MM</v>
      </c>
      <c r="D16" s="12" t="str">
        <f ca="1">IFERROR(__xludf.DUMMYFUNCTION("""COMPUTED_VALUE"""),"JST04_1MM_RA")</f>
        <v>JST04_1MM_RA</v>
      </c>
      <c r="E16" s="12" t="str">
        <f ca="1">IFERROR(__xludf.DUMMYFUNCTION("""COMPUTED_VALUE"""),"Micro SD Card Socket, Push-Push Type, Top Mount, SMT, H=1.83mm, 10u")</f>
        <v>Micro SD Card Socket, Push-Push Type, Top Mount, SMT, H=1.83mm, 10u</v>
      </c>
      <c r="F16" s="12"/>
      <c r="G16" s="12"/>
      <c r="H16" s="12"/>
      <c r="I16" s="12"/>
      <c r="J16" s="13" t="str">
        <f ca="1">IFERROR(__xludf.DUMMYFUNCTION("""COMPUTED_VALUE"""),"https://store.comet.srl.ro/Catalogue/Product/43497/")</f>
        <v>https://store.comet.srl.ro/Catalogue/Product/43497/</v>
      </c>
      <c r="K16" s="12"/>
      <c r="L16" s="12"/>
      <c r="M16" s="12" t="str">
        <f ca="1">IFERROR(__xludf.DUMMYFUNCTION("""COMPUTED_VALUE""")," Extremely Accurate I涎-Integrated RTC/TCXO/Crystal ")</f>
        <v xml:space="preserve"> Extremely Accurate I涎-Integrated RTC/TCXO/Crystal </v>
      </c>
      <c r="N16" s="12"/>
      <c r="O16" s="12"/>
      <c r="P16" s="12"/>
      <c r="Q16" s="12"/>
      <c r="R16" s="12"/>
      <c r="S16" s="12"/>
      <c r="T16" s="12"/>
      <c r="U16" s="12"/>
      <c r="V16" s="12"/>
      <c r="W16" s="12"/>
      <c r="X16" s="12"/>
      <c r="Y16" s="12"/>
      <c r="Z16" s="12"/>
      <c r="AA16" s="12"/>
      <c r="AB16" s="12"/>
      <c r="AC16" s="12"/>
      <c r="AD16" s="12"/>
    </row>
    <row r="17" spans="1:30" x14ac:dyDescent="0.25">
      <c r="A17" s="12"/>
      <c r="B17" s="12" t="str">
        <f ca="1">IFERROR(__xludf.DUMMYFUNCTION("""COMPUTED_VALUE"""),"BD5229G-TR")</f>
        <v>BD5229G-TR</v>
      </c>
      <c r="C17" s="12" t="str">
        <f ca="1">IFERROR(__xludf.DUMMYFUNCTION("""COMPUTED_VALUE"""),"112A-TAAR-R03_ATTEND")</f>
        <v>112A-TAAR-R03_ATTEND</v>
      </c>
      <c r="D17" s="12" t="str">
        <f ca="1">IFERROR(__xludf.DUMMYFUNCTION("""COMPUTED_VALUE"""),"112ATAARR03ATTEND")</f>
        <v>112ATAARR03ATTEND</v>
      </c>
      <c r="E17" s="12" t="str">
        <f ca="1">IFERROR(__xludf.DUMMYFUNCTION("""COMPUTED_VALUE"""),"VARISTOR")</f>
        <v>VARISTOR</v>
      </c>
      <c r="F17" s="12"/>
      <c r="G17" s="12"/>
      <c r="H17" s="12"/>
      <c r="I17" s="12"/>
      <c r="J17" s="13" t="str">
        <f ca="1">IFERROR(__xludf.DUMMYFUNCTION("""COMPUTED_VALUE"""),"https://eu.mouser.com/ProductDetail/Wurth-Elektronik/744043680?qs=PGXP4M47uW6VkZq%252BkzjrHA%3D%3D")</f>
        <v>https://eu.mouser.com/ProductDetail/Wurth-Elektronik/744043680?qs=PGXP4M47uW6VkZq%252BkzjrHA%3D%3D</v>
      </c>
      <c r="K17" s="12"/>
      <c r="L17" s="12"/>
      <c r="M17" s="12" t="str">
        <f ca="1">IFERROR(__xludf.DUMMYFUNCTION("""COMPUTED_VALUE""")," 3渙 1-Cell/2-Cell Fuel Gauge with ModelGauge ")</f>
        <v xml:space="preserve"> 3渙 1-Cell/2-Cell Fuel Gauge with ModelGauge </v>
      </c>
      <c r="N17" s="12"/>
      <c r="O17" s="12"/>
      <c r="P17" s="12"/>
      <c r="Q17" s="12"/>
      <c r="R17" s="12"/>
      <c r="S17" s="12"/>
      <c r="T17" s="12"/>
      <c r="U17" s="12"/>
      <c r="V17" s="12"/>
      <c r="W17" s="12"/>
      <c r="X17" s="12"/>
      <c r="Y17" s="12"/>
      <c r="Z17" s="12"/>
      <c r="AA17" s="12"/>
      <c r="AB17" s="12"/>
      <c r="AC17" s="12"/>
      <c r="AD17" s="12"/>
    </row>
    <row r="18" spans="1:30" x14ac:dyDescent="0.25">
      <c r="A18" s="12"/>
      <c r="B18" s="12" t="str">
        <f ca="1">IFERROR(__xludf.DUMMYFUNCTION("""COMPUTED_VALUE"""),"XC6220A331MR-G")</f>
        <v>XC6220A331MR-G</v>
      </c>
      <c r="C18" s="12" t="str">
        <f ca="1">IFERROR(__xludf.DUMMYFUNCTION("""COMPUTED_VALUE"""),"744043680IND_4828-WE-TPC_WRE")</f>
        <v>744043680IND_4828-WE-TPC_WRE</v>
      </c>
      <c r="D18" s="12" t="str">
        <f ca="1">IFERROR(__xludf.DUMMYFUNCTION("""COMPUTED_VALUE"""),"IND_4828-WE-TPC_WRE")</f>
        <v>IND_4828-WE-TPC_WRE</v>
      </c>
      <c r="E18" s="12" t="str">
        <f ca="1">IFERROR(__xludf.DUMMYFUNCTION("""COMPUTED_VALUE"""),"P-channel MOSFETs")</f>
        <v>P-channel MOSFETs</v>
      </c>
      <c r="F18" s="12"/>
      <c r="G18" s="12"/>
      <c r="H18" s="12"/>
      <c r="I18" s="12"/>
      <c r="J18" s="13" t="str">
        <f ca="1">IFERROR(__xludf.DUMMYFUNCTION("""COMPUTED_VALUE"""),"https://www.mouser.co.uk/ProductDetail/EPCOS-TDK/B72520T0350K062?qs=dEfas%2FXlABIszF52uu7vrg%3D%3D")</f>
        <v>https://www.mouser.co.uk/ProductDetail/EPCOS-TDK/B72520T0350K062?qs=dEfas%2FXlABIszF52uu7vrg%3D%3D</v>
      </c>
      <c r="K18" s="12"/>
      <c r="L18" s="12"/>
      <c r="M18" s="12"/>
      <c r="N18" s="12"/>
      <c r="O18" s="12"/>
      <c r="P18" s="12"/>
      <c r="Q18" s="12"/>
      <c r="R18" s="12"/>
      <c r="S18" s="12"/>
      <c r="T18" s="12"/>
      <c r="U18" s="12"/>
      <c r="V18" s="12"/>
      <c r="W18" s="12"/>
      <c r="X18" s="12"/>
      <c r="Y18" s="12"/>
      <c r="Z18" s="12"/>
      <c r="AA18" s="12"/>
      <c r="AB18" s="12"/>
      <c r="AC18" s="12"/>
      <c r="AD18" s="12"/>
    </row>
    <row r="19" spans="1:30" x14ac:dyDescent="0.25">
      <c r="A19" s="12"/>
      <c r="B19" s="12" t="str">
        <f ca="1">IFERROR(__xludf.DUMMYFUNCTION("""COMPUTED_VALUE"""),"FH34SRJ-24S-0.5SH_99_")</f>
        <v>FH34SRJ-24S-0.5SH_99_</v>
      </c>
      <c r="C19" s="12" t="str">
        <f ca="1">IFERROR(__xludf.DUMMYFUNCTION("""COMPUTED_VALUE"""),"ESP32C6_VARISTORCN1812")</f>
        <v>ESP32C6_VARISTORCN1812</v>
      </c>
      <c r="D19" s="12" t="str">
        <f ca="1">IFERROR(__xludf.DUMMYFUNCTION("""COMPUTED_VALUE"""),"ESP32C6_VARISTOR_CT/CN1812")</f>
        <v>ESP32C6_VARISTOR_CT/CN1812</v>
      </c>
      <c r="E19" s="12" t="str">
        <f ca="1">IFERROR(__xludf.DUMMYFUNCTION("""COMPUTED_VALUE"""),"MOSFET N-Ch 30V 1.5A TrenchFET SC70 Vishay Si1308EDL-T1-GE3 N-channel MOSFET Transistor, 1.5 A, 30 V, 3-Pin SC-70")</f>
        <v>MOSFET N-Ch 30V 1.5A TrenchFET SC70 Vishay Si1308EDL-T1-GE3 N-channel MOSFET Transistor, 1.5 A, 30 V, 3-Pin SC-70</v>
      </c>
      <c r="F19" s="12"/>
      <c r="G19" s="12"/>
      <c r="H19" s="12"/>
      <c r="I19" s="12"/>
      <c r="J19" s="13" t="str">
        <f ca="1">IFERROR(__xludf.DUMMYFUNCTION("""COMPUTED_VALUE"""),"https://componentsearchengine.com/part-view/DMG2305UX-7/Diodes%20Incorporated")</f>
        <v>https://componentsearchengine.com/part-view/DMG2305UX-7/Diodes%20Incorporated</v>
      </c>
      <c r="K19" s="12"/>
      <c r="L19" s="12"/>
      <c r="M19" s="12"/>
      <c r="N19" s="12"/>
      <c r="O19" s="12"/>
      <c r="P19" s="12"/>
      <c r="Q19" s="12"/>
      <c r="R19" s="12"/>
      <c r="S19" s="12"/>
      <c r="T19" s="12"/>
      <c r="U19" s="12"/>
      <c r="V19" s="12"/>
      <c r="W19" s="12"/>
      <c r="X19" s="12"/>
      <c r="Y19" s="12"/>
      <c r="Z19" s="12"/>
      <c r="AA19" s="12"/>
      <c r="AB19" s="12"/>
      <c r="AC19" s="12"/>
      <c r="AD19" s="12"/>
    </row>
    <row r="20" spans="1:30" x14ac:dyDescent="0.25">
      <c r="A20" s="12"/>
      <c r="B20" s="12" t="str">
        <f ca="1">IFERROR(__xludf.DUMMYFUNCTION("""COMPUTED_VALUE"""),"SAMACSYS_PARTS_USB4110-GF-A")</f>
        <v>SAMACSYS_PARTS_USB4110-GF-A</v>
      </c>
      <c r="C20" s="12" t="str">
        <f ca="1">IFERROR(__xludf.DUMMYFUNCTION("""COMPUTED_VALUE"""),"ESP32_WROVER_SPARKFUN-DISCRETESEMI_MOSFET_PCH-DMG2305UX-7")</f>
        <v>ESP32_WROVER_SPARKFUN-DISCRETESEMI_MOSFET_PCH-DMG2305UX-7</v>
      </c>
      <c r="D20" s="12" t="str">
        <f ca="1">IFERROR(__xludf.DUMMYFUNCTION("""COMPUTED_VALUE"""),"ESP32_WROVER_SPARKFUN-DISCRETESEMI_SOT23-3")</f>
        <v>ESP32_WROVER_SPARKFUN-DISCRETESEMI_SOT23-3</v>
      </c>
      <c r="E20" s="12" t="str">
        <f ca="1">IFERROR(__xludf.DUMMYFUNCTION("""COMPUTED_VALUE"""),"RESISTOR, European symbol")</f>
        <v>RESISTOR, European symbol</v>
      </c>
      <c r="F20" s="12"/>
      <c r="G20" s="12"/>
      <c r="H20" s="12"/>
      <c r="I20" s="12"/>
      <c r="J20" s="13" t="str">
        <f ca="1">IFERROR(__xludf.DUMMYFUNCTION("""COMPUTED_VALUE"""),"https://componentsearchengine.com/part-view/SI1308EDL-T1-GE3/Vishay")</f>
        <v>https://componentsearchengine.com/part-view/SI1308EDL-T1-GE3/Vishay</v>
      </c>
      <c r="K20" s="12"/>
      <c r="L20" s="12"/>
      <c r="M20" s="12"/>
      <c r="N20" s="12"/>
      <c r="O20" s="12"/>
      <c r="P20" s="12"/>
      <c r="Q20" s="12"/>
      <c r="R20" s="12"/>
      <c r="S20" s="12"/>
      <c r="T20" s="12"/>
      <c r="U20" s="12"/>
      <c r="V20" s="12"/>
      <c r="W20" s="12"/>
      <c r="X20" s="12"/>
      <c r="Y20" s="12"/>
      <c r="Z20" s="12"/>
      <c r="AA20" s="12"/>
      <c r="AB20" s="12"/>
      <c r="AC20" s="12"/>
      <c r="AD20" s="12"/>
    </row>
    <row r="21" spans="1:30" x14ac:dyDescent="0.25">
      <c r="A21" s="12"/>
      <c r="B21" s="12" t="str">
        <f ca="1">IFERROR(__xludf.DUMMYFUNCTION("""COMPUTED_VALUE"""),"QWIIC_RIGHT_ANGLE")</f>
        <v>QWIIC_RIGHT_ANGLE</v>
      </c>
      <c r="C21" s="12" t="str">
        <f ca="1">IFERROR(__xludf.DUMMYFUNCTION("""COMPUTED_VALUE"""),"D8")</f>
        <v>D8</v>
      </c>
      <c r="D21" s="12" t="str">
        <f ca="1">IFERROR(__xludf.DUMMYFUNCTION("""COMPUTED_VALUE"""),"SOT65P210X110-3N")</f>
        <v>SOT65P210X110-3N</v>
      </c>
      <c r="E21" s="12" t="str">
        <f ca="1">IFERROR(__xludf.DUMMYFUNCTION("""COMPUTED_VALUE"""),"Integrated Environmental Unit")</f>
        <v>Integrated Environmental Unit</v>
      </c>
      <c r="F21" s="12"/>
      <c r="G21" s="12"/>
      <c r="H21" s="12"/>
      <c r="I21" s="12"/>
      <c r="J21" s="13" t="str">
        <f ca="1">IFERROR(__xludf.DUMMYFUNCTION("""COMPUTED_VALUE"""),"https://componentsearchengine.com/part-view/R0402%201%25%20100%20K%20(RC0402FR-07100KL)/YAGEO")</f>
        <v>https://componentsearchengine.com/part-view/R0402%201%25%20100%20K%20(RC0402FR-07100KL)/YAGEO</v>
      </c>
      <c r="K21" s="12"/>
      <c r="L21" s="12"/>
      <c r="M21" s="12"/>
      <c r="N21" s="12"/>
      <c r="O21" s="12"/>
      <c r="P21" s="12"/>
      <c r="Q21" s="12"/>
      <c r="R21" s="12"/>
      <c r="S21" s="12"/>
      <c r="T21" s="12"/>
      <c r="U21" s="12"/>
      <c r="V21" s="12"/>
      <c r="W21" s="12"/>
      <c r="X21" s="12"/>
      <c r="Y21" s="12"/>
      <c r="Z21" s="12"/>
      <c r="AA21" s="12"/>
      <c r="AB21" s="12"/>
      <c r="AC21" s="12"/>
      <c r="AD21" s="12"/>
    </row>
    <row r="22" spans="1:30" x14ac:dyDescent="0.25">
      <c r="A22" s="12"/>
      <c r="B22" s="12" t="str">
        <f ca="1">IFERROR(__xludf.DUMMYFUNCTION("""COMPUTED_VALUE"""),"112A-TAAR-R03_ATTEND")</f>
        <v>112A-TAAR-R03_ATTEND</v>
      </c>
      <c r="C22" s="12" t="str">
        <f ca="1">IFERROR(__xludf.DUMMYFUNCTION("""COMPUTED_VALUE"""),"ESP32_WROVER_EAGLE-LTSPICE_RR0402")</f>
        <v>ESP32_WROVER_EAGLE-LTSPICE_RR0402</v>
      </c>
      <c r="D22" s="12" t="str">
        <f ca="1">IFERROR(__xludf.DUMMYFUNCTION("""COMPUTED_VALUE"""),"ESP32_WROVER_EAGLE-LTSPICE_R0402")</f>
        <v>ESP32_WROVER_EAGLE-LTSPICE_R0402</v>
      </c>
      <c r="E22" s="12" t="str">
        <f ca="1">IFERROR(__xludf.DUMMYFUNCTION("""COMPUTED_VALUE"""),"SMD solder JUMPER")</f>
        <v>SMD solder JUMPER</v>
      </c>
      <c r="F22" s="12"/>
      <c r="G22" s="12"/>
      <c r="H22" s="12"/>
      <c r="I22" s="12"/>
      <c r="J22" s="13" t="str">
        <f ca="1">IFERROR(__xludf.DUMMYFUNCTION("""COMPUTED_VALUE"""),"https://www.snapeda.com/parts/BME680/Bosch/view-part/?welcome=home")</f>
        <v>https://www.snapeda.com/parts/BME680/Bosch/view-part/?welcome=home</v>
      </c>
      <c r="K22" s="12"/>
      <c r="L22" s="12"/>
      <c r="M22" s="12"/>
      <c r="N22" s="12"/>
      <c r="O22" s="12"/>
      <c r="P22" s="12"/>
      <c r="Q22" s="12"/>
      <c r="R22" s="12"/>
      <c r="S22" s="12"/>
      <c r="T22" s="12"/>
      <c r="U22" s="12"/>
      <c r="V22" s="12"/>
      <c r="W22" s="12"/>
      <c r="X22" s="12"/>
      <c r="Y22" s="12"/>
      <c r="Z22" s="12"/>
      <c r="AA22" s="12"/>
      <c r="AB22" s="12"/>
      <c r="AC22" s="12"/>
      <c r="AD22" s="12"/>
    </row>
    <row r="23" spans="1:30" x14ac:dyDescent="0.25">
      <c r="A23" s="12"/>
      <c r="B23" s="12" t="str">
        <f ca="1">IFERROR(__xludf.DUMMYFUNCTION("""COMPUTED_VALUE"""),"68uH")</f>
        <v>68uH</v>
      </c>
      <c r="C23" s="12" t="str">
        <f ca="1">IFERROR(__xludf.DUMMYFUNCTION("""COMPUTED_VALUE"""),"ESP32_WROVER_BME680_BME680")</f>
        <v>ESP32_WROVER_BME680_BME680</v>
      </c>
      <c r="D23" s="12" t="str">
        <f ca="1">IFERROR(__xludf.DUMMYFUNCTION("""COMPUTED_VALUE"""),"ESP32_WROVER_BME680_PSON80P300X300X100-8N")</f>
        <v>ESP32_WROVER_BME680_PSON80P300X300X100-8N</v>
      </c>
      <c r="E23" s="12" t="str">
        <f ca="1">IFERROR(__xludf.DUMMYFUNCTION("""COMPUTED_VALUE"""),"Test pad")</f>
        <v>Test pad</v>
      </c>
      <c r="F23" s="12"/>
      <c r="G23" s="12"/>
      <c r="H23" s="12"/>
      <c r="I23" s="12"/>
      <c r="J23" s="12" t="str">
        <f ca="1">IFERROR(__xludf.DUMMYFUNCTION("""COMPUTED_VALUE""")," cred https://grabcad.com/library/solder-jumpers-1")</f>
        <v xml:space="preserve"> cred https://grabcad.com/library/solder-jumpers-1</v>
      </c>
      <c r="K23" s="12"/>
      <c r="L23" s="12"/>
      <c r="M23" s="12"/>
      <c r="N23" s="12"/>
      <c r="O23" s="12"/>
      <c r="P23" s="12"/>
      <c r="Q23" s="12"/>
      <c r="R23" s="12"/>
      <c r="S23" s="12"/>
      <c r="T23" s="12"/>
      <c r="U23" s="12"/>
      <c r="V23" s="12"/>
      <c r="W23" s="12"/>
      <c r="X23" s="12"/>
      <c r="Y23" s="12"/>
      <c r="Z23" s="12"/>
      <c r="AA23" s="12"/>
      <c r="AB23" s="12"/>
      <c r="AC23" s="12"/>
      <c r="AD23" s="12"/>
    </row>
    <row r="24" spans="1:30" x14ac:dyDescent="0.25">
      <c r="A24" s="12"/>
      <c r="B24" s="12" t="str">
        <f ca="1">IFERROR(__xludf.DUMMYFUNCTION("""COMPUTED_VALUE"""),"ESP32C6_VARISTORCN1812")</f>
        <v>ESP32C6_VARISTORCN1812</v>
      </c>
      <c r="C24" s="12" t="str">
        <f ca="1">IFERROR(__xludf.DUMMYFUNCTION("""COMPUTED_VALUE"""),"SJ")</f>
        <v>SJ</v>
      </c>
      <c r="D24" s="12" t="str">
        <f ca="1">IFERROR(__xludf.DUMMYFUNCTION("""COMPUTED_VALUE"""),"SJ")</f>
        <v>SJ</v>
      </c>
      <c r="E24" s="12" t="str">
        <f ca="1">IFERROR(__xludf.DUMMYFUNCTION("""COMPUTED_VALUE"""),"Real Time Clock Serial 16-Pin SOIC W T/R     Check availability")</f>
        <v>Real Time Clock Serial 16-Pin SOIC W T/R     Check availability</v>
      </c>
      <c r="F24" s="12"/>
      <c r="G24" s="12"/>
      <c r="H24" s="12"/>
      <c r="I24" s="12"/>
      <c r="J24" s="12" t="str">
        <f ca="1">IFERROR(__xludf.DUMMYFUNCTION("""COMPUTED_VALUE"""),"Va rog faceti un cilindru, ca cel din link era prea mare")</f>
        <v>Va rog faceti un cilindru, ca cel din link era prea mare</v>
      </c>
      <c r="K24" s="12"/>
      <c r="L24" s="12"/>
      <c r="M24" s="12"/>
      <c r="N24" s="12"/>
      <c r="O24" s="12"/>
      <c r="P24" s="12"/>
      <c r="Q24" s="12"/>
      <c r="R24" s="12"/>
      <c r="S24" s="12"/>
      <c r="T24" s="12"/>
      <c r="U24" s="12"/>
      <c r="V24" s="12"/>
      <c r="W24" s="12"/>
      <c r="X24" s="12"/>
      <c r="Y24" s="12"/>
      <c r="Z24" s="12"/>
      <c r="AA24" s="12"/>
      <c r="AB24" s="12"/>
      <c r="AC24" s="12"/>
      <c r="AD24" s="12"/>
    </row>
    <row r="25" spans="1:30" x14ac:dyDescent="0.25">
      <c r="A25" s="12"/>
      <c r="B25" s="12" t="str">
        <f ca="1">IFERROR(__xludf.DUMMYFUNCTION("""COMPUTED_VALUE"""),"20V/4.2A/52mO/1.4W")</f>
        <v>20V/4.2A/52mO/1.4W</v>
      </c>
      <c r="C25" s="12" t="str">
        <f ca="1">IFERROR(__xludf.DUMMYFUNCTION("""COMPUTED_VALUE"""),"TPTP20R")</f>
        <v>TPTP20R</v>
      </c>
      <c r="D25" s="12" t="str">
        <f ca="1">IFERROR(__xludf.DUMMYFUNCTION("""COMPUTED_VALUE"""),"TP20R")</f>
        <v>TP20R</v>
      </c>
      <c r="E25" s="12" t="str">
        <f ca="1">IFERROR(__xludf.DUMMYFUNCTION("""COMPUTED_VALUE"""),"MCP73831T Li-Ion, Li-Pol Controller")</f>
        <v>MCP73831T Li-Ion, Li-Pol Controller</v>
      </c>
      <c r="F25" s="12"/>
      <c r="G25" s="12"/>
      <c r="H25" s="12"/>
      <c r="I25" s="12"/>
      <c r="J25" s="13" t="str">
        <f ca="1">IFERROR(__xludf.DUMMYFUNCTION("""COMPUTED_VALUE"""),"https://www.snapeda.com/parts/W25Q512JVEIQ/Winbond+Electronics/view-part/?ref=eda")</f>
        <v>https://www.snapeda.com/parts/W25Q512JVEIQ/Winbond+Electronics/view-part/?ref=eda</v>
      </c>
      <c r="K25" s="12"/>
      <c r="L25" s="12"/>
      <c r="M25" s="12"/>
      <c r="N25" s="12"/>
      <c r="O25" s="12"/>
      <c r="P25" s="12"/>
      <c r="Q25" s="12"/>
      <c r="R25" s="12"/>
      <c r="S25" s="12"/>
      <c r="T25" s="12"/>
      <c r="U25" s="12"/>
      <c r="V25" s="12"/>
      <c r="W25" s="12"/>
      <c r="X25" s="12"/>
      <c r="Y25" s="12"/>
      <c r="Z25" s="12"/>
      <c r="AA25" s="12"/>
      <c r="AB25" s="12"/>
      <c r="AC25" s="12"/>
      <c r="AD25" s="12"/>
    </row>
    <row r="26" spans="1:30" x14ac:dyDescent="0.25">
      <c r="A26" s="12"/>
      <c r="B26" s="12" t="str">
        <f ca="1">IFERROR(__xludf.DUMMYFUNCTION("""COMPUTED_VALUE"""),"SI1308EDL-T1-GE3")</f>
        <v>SI1308EDL-T1-GE3</v>
      </c>
      <c r="C26" s="12" t="str">
        <f ca="1">IFERROR(__xludf.DUMMYFUNCTION("""COMPUTED_VALUE"""),"W25Q512JVEIQ")</f>
        <v>W25Q512JVEIQ</v>
      </c>
      <c r="D26" s="12" t="str">
        <f ca="1">IFERROR(__xludf.DUMMYFUNCTION("""COMPUTED_VALUE"""),"SON127P600X800X80-9N")</f>
        <v>SON127P600X800X80-9N</v>
      </c>
      <c r="E26" s="12"/>
      <c r="F26" s="12"/>
      <c r="G26" s="12"/>
      <c r="H26" s="12"/>
      <c r="I26" s="12"/>
      <c r="J26" s="13" t="str">
        <f ca="1">IFERROR(__xludf.DUMMYFUNCTION("""COMPUTED_VALUE"""),"https://www.snapeda.com/parts/ESP32-C6-WROOM-1-N8/Espressif+Systems/view-part/?ref=eda")</f>
        <v>https://www.snapeda.com/parts/ESP32-C6-WROOM-1-N8/Espressif+Systems/view-part/?ref=eda</v>
      </c>
      <c r="K26" s="12"/>
      <c r="L26" s="12"/>
      <c r="M26" s="12"/>
      <c r="N26" s="12"/>
      <c r="O26" s="12"/>
      <c r="P26" s="12"/>
      <c r="Q26" s="12"/>
      <c r="R26" s="12"/>
      <c r="S26" s="12"/>
      <c r="T26" s="12"/>
      <c r="U26" s="12"/>
      <c r="V26" s="12"/>
      <c r="W26" s="12"/>
      <c r="X26" s="12"/>
      <c r="Y26" s="12"/>
      <c r="Z26" s="12"/>
      <c r="AA26" s="12"/>
      <c r="AB26" s="12"/>
      <c r="AC26" s="12"/>
      <c r="AD26" s="12"/>
    </row>
    <row r="27" spans="1:30" x14ac:dyDescent="0.25">
      <c r="A27" s="12"/>
      <c r="B27" s="12" t="str">
        <f ca="1">IFERROR(__xludf.DUMMYFUNCTION("""COMPUTED_VALUE"""),"10K")</f>
        <v>10K</v>
      </c>
      <c r="C27" s="12" t="str">
        <f ca="1">IFERROR(__xludf.DUMMYFUNCTION("""COMPUTED_VALUE"""),"ESP32-C6-WROOM-1-N8")</f>
        <v>ESP32-C6-WROOM-1-N8</v>
      </c>
      <c r="D27" s="12" t="str">
        <f ca="1">IFERROR(__xludf.DUMMYFUNCTION("""COMPUTED_VALUE"""),"XCVR_ESP32-C6-WROOM-1-N8")</f>
        <v>XCVR_ESP32-C6-WROOM-1-N8</v>
      </c>
      <c r="E27" s="12"/>
      <c r="F27" s="12"/>
      <c r="G27" s="12"/>
      <c r="H27" s="12"/>
      <c r="I27" s="12"/>
      <c r="J27" s="13" t="str">
        <f ca="1">IFERROR(__xludf.DUMMYFUNCTION("""COMPUTED_VALUE"""),"https://www.snapeda.com/parts/DS3231SN%23/Analog+Devices/view-part/?ref=eda")</f>
        <v>https://www.snapeda.com/parts/DS3231SN%23/Analog+Devices/view-part/?ref=eda</v>
      </c>
      <c r="K27" s="12"/>
      <c r="L27" s="12"/>
      <c r="M27" s="12"/>
      <c r="N27" s="12"/>
      <c r="O27" s="12"/>
      <c r="P27" s="12"/>
      <c r="Q27" s="12"/>
      <c r="R27" s="12"/>
      <c r="S27" s="12"/>
      <c r="T27" s="12"/>
      <c r="U27" s="12"/>
      <c r="V27" s="12"/>
      <c r="W27" s="12"/>
      <c r="X27" s="12"/>
      <c r="Y27" s="12"/>
      <c r="Z27" s="12"/>
      <c r="AA27" s="12"/>
      <c r="AB27" s="12"/>
      <c r="AC27" s="12"/>
      <c r="AD27" s="12"/>
    </row>
    <row r="28" spans="1:30" x14ac:dyDescent="0.25">
      <c r="A28" s="12"/>
      <c r="B28" s="12">
        <f ca="1">IFERROR(__xludf.DUMMYFUNCTION("""COMPUTED_VALUE"""),200)</f>
        <v>200</v>
      </c>
      <c r="C28" s="12" t="str">
        <f ca="1">IFERROR(__xludf.DUMMYFUNCTION("""COMPUTED_VALUE"""),"DS3231SN#")</f>
        <v>DS3231SN#</v>
      </c>
      <c r="D28" s="12" t="str">
        <f ca="1">IFERROR(__xludf.DUMMYFUNCTION("""COMPUTED_VALUE"""),"SOIC127P1032X265-16N")</f>
        <v>SOIC127P1032X265-16N</v>
      </c>
      <c r="E28" s="12"/>
      <c r="F28" s="12"/>
      <c r="G28" s="12"/>
      <c r="H28" s="12"/>
      <c r="I28" s="12"/>
      <c r="J28" s="13" t="str">
        <f ca="1">IFERROR(__xludf.DUMMYFUNCTION("""COMPUTED_VALUE"""),"https://www.snapeda.com/parts/MAX17048G+T10/Analog+Devices/view-part/?ref=eda")</f>
        <v>https://www.snapeda.com/parts/MAX17048G+T10/Analog+Devices/view-part/?ref=eda</v>
      </c>
      <c r="K28" s="12"/>
      <c r="L28" s="12"/>
      <c r="M28" s="12"/>
      <c r="N28" s="12"/>
      <c r="O28" s="12"/>
      <c r="P28" s="12"/>
      <c r="Q28" s="12"/>
      <c r="R28" s="12"/>
      <c r="S28" s="12"/>
      <c r="T28" s="12"/>
      <c r="U28" s="12"/>
      <c r="V28" s="12"/>
      <c r="W28" s="12"/>
      <c r="X28" s="12"/>
      <c r="Y28" s="12"/>
      <c r="Z28" s="12"/>
      <c r="AA28" s="12"/>
      <c r="AB28" s="12"/>
      <c r="AC28" s="12"/>
      <c r="AD28" s="12"/>
    </row>
    <row r="29" spans="1:30" x14ac:dyDescent="0.25">
      <c r="A29" s="12"/>
      <c r="B29" s="12" t="str">
        <f ca="1">IFERROR(__xludf.DUMMYFUNCTION("""COMPUTED_VALUE"""),"100K")</f>
        <v>100K</v>
      </c>
      <c r="C29" s="12" t="str">
        <f ca="1">IFERROR(__xludf.DUMMYFUNCTION("""COMPUTED_VALUE"""),"MAX17048G+T10")</f>
        <v>MAX17048G+T10</v>
      </c>
      <c r="D29" s="12" t="str">
        <f ca="1">IFERROR(__xludf.DUMMYFUNCTION("""COMPUTED_VALUE"""),"SON50P200X200X80-9N")</f>
        <v>SON50P200X200X80-9N</v>
      </c>
      <c r="E29" s="12"/>
      <c r="F29" s="12"/>
      <c r="G29" s="12"/>
      <c r="H29" s="12"/>
      <c r="I29" s="12"/>
      <c r="J29" s="13" t="str">
        <f ca="1">IFERROR(__xludf.DUMMYFUNCTION("""COMPUTED_VALUE"""),"https://eu.mouser.com/ProductDetail/Microchip-Technology/MCP73831T-2ACI-OT?qs=yUQqVecv4qvbBQBGbHx0Mw%3D%3Dcf")</f>
        <v>https://eu.mouser.com/ProductDetail/Microchip-Technology/MCP73831T-2ACI-OT?qs=yUQqVecv4qvbBQBGbHx0Mw%3D%3Dcf</v>
      </c>
      <c r="K29" s="12"/>
      <c r="L29" s="12"/>
      <c r="M29" s="12"/>
      <c r="N29" s="12"/>
      <c r="O29" s="12"/>
      <c r="P29" s="12"/>
      <c r="Q29" s="12"/>
      <c r="R29" s="12"/>
      <c r="S29" s="12"/>
      <c r="T29" s="12"/>
      <c r="U29" s="12"/>
      <c r="V29" s="12"/>
      <c r="W29" s="12"/>
      <c r="X29" s="12"/>
      <c r="Y29" s="12"/>
      <c r="Z29" s="12"/>
      <c r="AA29" s="12"/>
      <c r="AB29" s="12"/>
      <c r="AC29" s="12"/>
      <c r="AD29" s="12"/>
    </row>
    <row r="30" spans="1:30" x14ac:dyDescent="0.25">
      <c r="A30" s="12"/>
      <c r="B30" s="12">
        <f ca="1">IFERROR(__xludf.DUMMYFUNCTION("""COMPUTED_VALUE"""),2.2)</f>
        <v>2.2000000000000002</v>
      </c>
      <c r="C30" s="12" t="str">
        <f ca="1">IFERROR(__xludf.DUMMYFUNCTION("""COMPUTED_VALUE"""),"ESP32_WROVER_SPARKFUN-IC-POWER_MCP73831")</f>
        <v>ESP32_WROVER_SPARKFUN-IC-POWER_MCP73831</v>
      </c>
      <c r="D30" s="12" t="str">
        <f ca="1">IFERROR(__xludf.DUMMYFUNCTION("""COMPUTED_VALUE"""),"ESP32_WROVER_SPARKFUN-IC-POWER_SOT23-5")</f>
        <v>ESP32_WROVER_SPARKFUN-IC-POWER_SOT23-5</v>
      </c>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row>
    <row r="31" spans="1:30" x14ac:dyDescent="0.25">
      <c r="A31" s="12"/>
      <c r="B31" s="12" t="str">
        <f ca="1">IFERROR(__xludf.DUMMYFUNCTION("""COMPUTED_VALUE"""),"5k1")</f>
        <v>5k1</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row>
    <row r="32" spans="1:30" x14ac:dyDescent="0.25">
      <c r="A32" s="12"/>
      <c r="B32" s="12" t="str">
        <f ca="1">IFERROR(__xludf.DUMMYFUNCTION("""COMPUTED_VALUE"""),"2K")</f>
        <v>2K</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row>
    <row r="33" spans="1:30" x14ac:dyDescent="0.25">
      <c r="A33" s="12"/>
      <c r="B33" s="12">
        <f ca="1">IFERROR(__xludf.DUMMYFUNCTION("""COMPUTED_VALUE"""),15)</f>
        <v>15</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row>
    <row r="34" spans="1:30" x14ac:dyDescent="0.25">
      <c r="A34" s="12"/>
      <c r="B34" s="12" t="str">
        <f ca="1">IFERROR(__xludf.DUMMYFUNCTION("""COMPUTED_VALUE"""),"ESP32_WROVER_BME680_BME680")</f>
        <v>ESP32_WROVER_BME680_BME680</v>
      </c>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row>
    <row r="35" spans="1:30" x14ac:dyDescent="0.25">
      <c r="A35" s="12"/>
      <c r="B35" s="12" t="str">
        <f ca="1">IFERROR(__xludf.DUMMYFUNCTION("""COMPUTED_VALUE"""),"TPTP20R")</f>
        <v>TPTP20R</v>
      </c>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row>
    <row r="36" spans="1:30" x14ac:dyDescent="0.25">
      <c r="A36" s="12"/>
      <c r="B36" s="12" t="str">
        <f ca="1">IFERROR(__xludf.DUMMYFUNCTION("""COMPUTED_VALUE"""),"W25Q512JVEIQ")</f>
        <v>W25Q512JVEIQ</v>
      </c>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row>
    <row r="37" spans="1:30" x14ac:dyDescent="0.25">
      <c r="A37" s="12"/>
      <c r="B37" s="12" t="str">
        <f ca="1">IFERROR(__xludf.DUMMYFUNCTION("""COMPUTED_VALUE"""),"ESP32-C6-WROOM-1-N8")</f>
        <v>ESP32-C6-WROOM-1-N8</v>
      </c>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row>
    <row r="38" spans="1:30" x14ac:dyDescent="0.25">
      <c r="A38" s="12"/>
      <c r="B38" s="12" t="str">
        <f ca="1">IFERROR(__xludf.DUMMYFUNCTION("""COMPUTED_VALUE"""),"DS3231SN#")</f>
        <v>DS3231SN#</v>
      </c>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row>
    <row r="39" spans="1:30" x14ac:dyDescent="0.25">
      <c r="A39" s="12"/>
      <c r="B39" s="12" t="str">
        <f ca="1">IFERROR(__xludf.DUMMYFUNCTION("""COMPUTED_VALUE"""),"MAX17048G+T10")</f>
        <v>MAX17048G+T10</v>
      </c>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row>
    <row r="40" spans="1:30" x14ac:dyDescent="0.25">
      <c r="A40" s="12"/>
      <c r="B40" s="12" t="str">
        <f ca="1">IFERROR(__xludf.DUMMYFUNCTION("""COMPUTED_VALUE"""),"MCP73831")</f>
        <v>MCP73831</v>
      </c>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row>
    <row r="41" spans="1:30" x14ac:dyDescent="0.2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row>
    <row r="42" spans="1:30" x14ac:dyDescent="0.2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row>
    <row r="43" spans="1:30" x14ac:dyDescent="0.2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row>
    <row r="44" spans="1:30" x14ac:dyDescent="0.2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row>
    <row r="45" spans="1:30"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row>
    <row r="46" spans="1:30" x14ac:dyDescent="0.2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row>
    <row r="47" spans="1:30" x14ac:dyDescent="0.2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row>
    <row r="48" spans="1:30" x14ac:dyDescent="0.2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row>
    <row r="49" spans="1:30" x14ac:dyDescent="0.2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row>
    <row r="50" spans="1:30" x14ac:dyDescent="0.2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row>
    <row r="51" spans="1:30" x14ac:dyDescent="0.2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row>
    <row r="52" spans="1:30" x14ac:dyDescent="0.2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row>
    <row r="53" spans="1:30" x14ac:dyDescent="0.2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row>
    <row r="54" spans="1:30" x14ac:dyDescent="0.2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row>
    <row r="55" spans="1:30" x14ac:dyDescent="0.2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row>
    <row r="56" spans="1:30" x14ac:dyDescent="0.2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row>
    <row r="57" spans="1:30" x14ac:dyDescent="0.2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row>
    <row r="58" spans="1:30" x14ac:dyDescent="0.2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row>
    <row r="59" spans="1:30" x14ac:dyDescent="0.2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row>
    <row r="60" spans="1:30" x14ac:dyDescent="0.2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row>
    <row r="61" spans="1:30" x14ac:dyDescent="0.2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row>
    <row r="62" spans="1:30" x14ac:dyDescent="0.2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row>
    <row r="63" spans="1:30" x14ac:dyDescent="0.2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row>
    <row r="64" spans="1:30" x14ac:dyDescent="0.2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row>
    <row r="65" spans="1:30" x14ac:dyDescent="0.2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row>
    <row r="66" spans="1:30" x14ac:dyDescent="0.2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row>
    <row r="67" spans="1:30" x14ac:dyDescent="0.2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row>
    <row r="68" spans="1:30" x14ac:dyDescent="0.2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row>
    <row r="69" spans="1:30" x14ac:dyDescent="0.2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row>
    <row r="70" spans="1:30" x14ac:dyDescent="0.2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row>
    <row r="71" spans="1:30" x14ac:dyDescent="0.2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row>
    <row r="72" spans="1:30" x14ac:dyDescent="0.2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row>
    <row r="73" spans="1:30" x14ac:dyDescent="0.2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row>
    <row r="74" spans="1:30" x14ac:dyDescent="0.2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row>
    <row r="75" spans="1:30" x14ac:dyDescent="0.2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row>
    <row r="76" spans="1:30" x14ac:dyDescent="0.2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spans="1:30" x14ac:dyDescent="0.2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row>
    <row r="78" spans="1:30" x14ac:dyDescent="0.2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row>
    <row r="79" spans="1:30" x14ac:dyDescent="0.2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row>
    <row r="80" spans="1:30" x14ac:dyDescent="0.2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row>
    <row r="81" spans="1:30" x14ac:dyDescent="0.2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row>
    <row r="82" spans="1:30" x14ac:dyDescent="0.2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row>
    <row r="83" spans="1:30" x14ac:dyDescent="0.2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x14ac:dyDescent="0.2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row>
    <row r="85" spans="1:30" x14ac:dyDescent="0.2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row>
    <row r="86" spans="1:30" x14ac:dyDescent="0.2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row>
    <row r="87" spans="1:30" x14ac:dyDescent="0.2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row>
    <row r="88" spans="1:30" x14ac:dyDescent="0.2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row>
    <row r="89" spans="1:30" x14ac:dyDescent="0.2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row>
    <row r="90" spans="1:30" x14ac:dyDescent="0.2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row>
    <row r="91" spans="1:30" x14ac:dyDescent="0.2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row>
    <row r="92" spans="1:30" x14ac:dyDescent="0.2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row>
    <row r="93" spans="1:30" x14ac:dyDescent="0.2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row>
    <row r="94" spans="1:30" x14ac:dyDescent="0.2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row>
    <row r="95" spans="1:30" x14ac:dyDescent="0.2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row>
    <row r="96" spans="1:30" x14ac:dyDescent="0.2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row>
    <row r="97" spans="1:30" x14ac:dyDescent="0.2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row>
    <row r="98" spans="1:30" x14ac:dyDescent="0.2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row>
    <row r="99" spans="1:30" x14ac:dyDescent="0.2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row>
    <row r="100" spans="1:30" x14ac:dyDescent="0.2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row>
    <row r="101" spans="1:30" x14ac:dyDescent="0.2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row>
    <row r="102" spans="1:30" x14ac:dyDescent="0.2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row>
    <row r="103" spans="1:30" x14ac:dyDescent="0.2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row>
    <row r="104" spans="1:30" x14ac:dyDescent="0.2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row>
    <row r="105" spans="1:30" x14ac:dyDescent="0.2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row>
    <row r="106" spans="1:30" x14ac:dyDescent="0.2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row>
    <row r="107" spans="1:30" x14ac:dyDescent="0.2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row>
    <row r="108" spans="1:30" x14ac:dyDescent="0.2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row>
    <row r="109" spans="1:30" x14ac:dyDescent="0.2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row>
    <row r="110" spans="1:30" x14ac:dyDescent="0.2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row>
    <row r="111" spans="1:30" x14ac:dyDescent="0.2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row>
    <row r="112" spans="1:30" x14ac:dyDescent="0.2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row>
    <row r="113" spans="1:30" x14ac:dyDescent="0.2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row>
    <row r="114" spans="1:30" x14ac:dyDescent="0.2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row>
    <row r="115" spans="1:30" x14ac:dyDescent="0.2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row>
    <row r="116" spans="1:30" x14ac:dyDescent="0.2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row>
    <row r="117" spans="1:30" x14ac:dyDescent="0.2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row>
    <row r="118" spans="1:30" x14ac:dyDescent="0.2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row>
    <row r="119" spans="1:30" x14ac:dyDescent="0.2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row>
    <row r="120" spans="1:30" x14ac:dyDescent="0.2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row>
    <row r="121" spans="1:30" x14ac:dyDescent="0.2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row>
    <row r="122" spans="1:30" x14ac:dyDescent="0.2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row>
    <row r="123" spans="1:30" x14ac:dyDescent="0.2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row>
    <row r="124" spans="1:30" x14ac:dyDescent="0.2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row>
    <row r="125" spans="1:30" x14ac:dyDescent="0.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row>
    <row r="126" spans="1:30" x14ac:dyDescent="0.2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row>
    <row r="127" spans="1:30" x14ac:dyDescent="0.2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row>
    <row r="128" spans="1:30" x14ac:dyDescent="0.2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row>
    <row r="129" spans="1:30" x14ac:dyDescent="0.2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row>
    <row r="130" spans="1:30" x14ac:dyDescent="0.2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row>
    <row r="131" spans="1:30" x14ac:dyDescent="0.2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row>
    <row r="132" spans="1:30" x14ac:dyDescent="0.2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row>
    <row r="133" spans="1:30" x14ac:dyDescent="0.2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row>
    <row r="134" spans="1:30" x14ac:dyDescent="0.2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row>
    <row r="135" spans="1:30" x14ac:dyDescent="0.2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row>
    <row r="136" spans="1:30" x14ac:dyDescent="0.2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row>
    <row r="137" spans="1:30" x14ac:dyDescent="0.2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row>
    <row r="138" spans="1:30" x14ac:dyDescent="0.2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row>
    <row r="139" spans="1:30" x14ac:dyDescent="0.2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row>
    <row r="140" spans="1:30" x14ac:dyDescent="0.2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row>
    <row r="141" spans="1:30" x14ac:dyDescent="0.2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row>
    <row r="142" spans="1:30" x14ac:dyDescent="0.2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row>
    <row r="143" spans="1:30" x14ac:dyDescent="0.2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row>
    <row r="144" spans="1:30" x14ac:dyDescent="0.2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row>
    <row r="145" spans="1:30" x14ac:dyDescent="0.2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row>
    <row r="146" spans="1:30" x14ac:dyDescent="0.2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row>
    <row r="147" spans="1:30" x14ac:dyDescent="0.2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row>
    <row r="148" spans="1:30" x14ac:dyDescent="0.2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row>
    <row r="149" spans="1:30" x14ac:dyDescent="0.2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row>
    <row r="150" spans="1:30" x14ac:dyDescent="0.2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row>
    <row r="151" spans="1:30" x14ac:dyDescent="0.2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row>
    <row r="152" spans="1:30" x14ac:dyDescent="0.2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row>
    <row r="153" spans="1:30" x14ac:dyDescent="0.2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row>
    <row r="154" spans="1:30" x14ac:dyDescent="0.2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row>
    <row r="155" spans="1:30" x14ac:dyDescent="0.2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row>
    <row r="156" spans="1:30" x14ac:dyDescent="0.2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row>
    <row r="157" spans="1:30" x14ac:dyDescent="0.2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row>
    <row r="158" spans="1:30" x14ac:dyDescent="0.2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row>
    <row r="159" spans="1:30" x14ac:dyDescent="0.2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row>
    <row r="160" spans="1:30" x14ac:dyDescent="0.2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row>
    <row r="161" spans="1:30" x14ac:dyDescent="0.2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row>
    <row r="162" spans="1:30" x14ac:dyDescent="0.2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row>
    <row r="163" spans="1:30" x14ac:dyDescent="0.2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row>
    <row r="164" spans="1:30" x14ac:dyDescent="0.2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row>
    <row r="165" spans="1:30" x14ac:dyDescent="0.2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row>
    <row r="166" spans="1:30" x14ac:dyDescent="0.2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row>
    <row r="167" spans="1:30" x14ac:dyDescent="0.2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row>
    <row r="168" spans="1:30" x14ac:dyDescent="0.2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row>
    <row r="169" spans="1:30" x14ac:dyDescent="0.2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row>
    <row r="170" spans="1:30" x14ac:dyDescent="0.2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row>
    <row r="171" spans="1:30" x14ac:dyDescent="0.2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row>
    <row r="172" spans="1:30" x14ac:dyDescent="0.2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row>
    <row r="173" spans="1:30" x14ac:dyDescent="0.2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row>
    <row r="174" spans="1:30" x14ac:dyDescent="0.2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row>
    <row r="175" spans="1:30" x14ac:dyDescent="0.2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row>
    <row r="176" spans="1:30" x14ac:dyDescent="0.2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row>
    <row r="177" spans="1:30" x14ac:dyDescent="0.2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row>
    <row r="178" spans="1:30" x14ac:dyDescent="0.2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row>
    <row r="179" spans="1:30" x14ac:dyDescent="0.2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row>
    <row r="180" spans="1:30" x14ac:dyDescent="0.2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row>
    <row r="181" spans="1:30" x14ac:dyDescent="0.2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row>
    <row r="182" spans="1:30" x14ac:dyDescent="0.2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row>
    <row r="183" spans="1:30" x14ac:dyDescent="0.2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row>
    <row r="184" spans="1:30" x14ac:dyDescent="0.2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row>
    <row r="185" spans="1:30" x14ac:dyDescent="0.2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row>
    <row r="186" spans="1:30" x14ac:dyDescent="0.2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row>
    <row r="187" spans="1:30" x14ac:dyDescent="0.2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row>
    <row r="188" spans="1:30" x14ac:dyDescent="0.2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row>
    <row r="189" spans="1:30" x14ac:dyDescent="0.2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row>
    <row r="190" spans="1:30" x14ac:dyDescent="0.2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row>
    <row r="191" spans="1:30" x14ac:dyDescent="0.2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row>
    <row r="192" spans="1:30" x14ac:dyDescent="0.2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row>
    <row r="193" spans="1:30" x14ac:dyDescent="0.2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row>
    <row r="194" spans="1:30" x14ac:dyDescent="0.2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row>
    <row r="195" spans="1:30" x14ac:dyDescent="0.2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row>
    <row r="196" spans="1:30" x14ac:dyDescent="0.2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row>
    <row r="197" spans="1:30" x14ac:dyDescent="0.2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row>
    <row r="198" spans="1:30" x14ac:dyDescent="0.2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row>
    <row r="199" spans="1:30" x14ac:dyDescent="0.2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row>
    <row r="200" spans="1:30" x14ac:dyDescent="0.2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row>
    <row r="201" spans="1:30" x14ac:dyDescent="0.2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row>
    <row r="202" spans="1:30" x14ac:dyDescent="0.2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row>
    <row r="203" spans="1:30" x14ac:dyDescent="0.2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row>
    <row r="204" spans="1:30" x14ac:dyDescent="0.2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row>
    <row r="205" spans="1:30" x14ac:dyDescent="0.2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row>
    <row r="206" spans="1:30" x14ac:dyDescent="0.2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row>
    <row r="207" spans="1:30" x14ac:dyDescent="0.2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row>
    <row r="208" spans="1:30" x14ac:dyDescent="0.2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row>
    <row r="209" spans="1:30" x14ac:dyDescent="0.2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row>
    <row r="210" spans="1:30" x14ac:dyDescent="0.2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row>
    <row r="211" spans="1:30" x14ac:dyDescent="0.2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row>
    <row r="212" spans="1:30" x14ac:dyDescent="0.2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row>
    <row r="213" spans="1:30" x14ac:dyDescent="0.2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row>
    <row r="214" spans="1:30" x14ac:dyDescent="0.2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row>
    <row r="215" spans="1:30" x14ac:dyDescent="0.2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row>
    <row r="216" spans="1:30" x14ac:dyDescent="0.2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row>
    <row r="217" spans="1:30" x14ac:dyDescent="0.2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row>
    <row r="218" spans="1:30" x14ac:dyDescent="0.2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row>
    <row r="219" spans="1:30" x14ac:dyDescent="0.2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row>
    <row r="220" spans="1:30" x14ac:dyDescent="0.2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row>
    <row r="221" spans="1:30" x14ac:dyDescent="0.2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row>
    <row r="222" spans="1:30" x14ac:dyDescent="0.2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row>
    <row r="223" spans="1:30" x14ac:dyDescent="0.2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row>
    <row r="224" spans="1:30" x14ac:dyDescent="0.2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row>
    <row r="225" spans="1:30" x14ac:dyDescent="0.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row>
    <row r="226" spans="1:30" x14ac:dyDescent="0.2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row>
    <row r="227" spans="1:30" x14ac:dyDescent="0.2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row>
    <row r="228" spans="1:30" x14ac:dyDescent="0.2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row>
    <row r="229" spans="1:30" x14ac:dyDescent="0.2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row>
    <row r="230" spans="1:30" x14ac:dyDescent="0.2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row>
    <row r="231" spans="1:30" x14ac:dyDescent="0.2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row>
    <row r="232" spans="1:30" x14ac:dyDescent="0.2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row>
    <row r="233" spans="1:30" x14ac:dyDescent="0.2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row>
    <row r="234" spans="1:30" x14ac:dyDescent="0.2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row>
    <row r="235" spans="1:30" x14ac:dyDescent="0.2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row>
    <row r="236" spans="1:30" x14ac:dyDescent="0.2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row>
    <row r="237" spans="1:30" x14ac:dyDescent="0.2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row>
    <row r="238" spans="1:30" x14ac:dyDescent="0.2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row>
    <row r="239" spans="1:30" x14ac:dyDescent="0.2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row>
    <row r="240" spans="1:30" x14ac:dyDescent="0.2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row>
    <row r="241" spans="1:30" x14ac:dyDescent="0.2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row>
    <row r="242" spans="1:30" x14ac:dyDescent="0.2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row>
    <row r="243" spans="1:30" x14ac:dyDescent="0.2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row>
    <row r="244" spans="1:30" x14ac:dyDescent="0.2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row>
    <row r="245" spans="1:30" x14ac:dyDescent="0.2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row>
    <row r="246" spans="1:30" x14ac:dyDescent="0.2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row>
    <row r="247" spans="1:30" x14ac:dyDescent="0.2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row>
    <row r="248" spans="1:30" x14ac:dyDescent="0.2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row>
    <row r="249" spans="1:30" x14ac:dyDescent="0.2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row>
    <row r="250" spans="1:30" x14ac:dyDescent="0.2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row>
    <row r="251" spans="1:30" x14ac:dyDescent="0.2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row>
    <row r="252" spans="1:30" x14ac:dyDescent="0.2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row>
    <row r="253" spans="1:30" x14ac:dyDescent="0.2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row>
    <row r="254" spans="1:30" x14ac:dyDescent="0.2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row>
    <row r="255" spans="1:30" x14ac:dyDescent="0.2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row>
    <row r="256" spans="1:30" x14ac:dyDescent="0.2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row>
    <row r="257" spans="1:30" x14ac:dyDescent="0.2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row>
    <row r="258" spans="1:30" x14ac:dyDescent="0.2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row>
    <row r="259" spans="1:30" x14ac:dyDescent="0.2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row>
    <row r="260" spans="1:30" x14ac:dyDescent="0.2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row>
    <row r="261" spans="1:30" x14ac:dyDescent="0.2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row>
    <row r="262" spans="1:30" x14ac:dyDescent="0.2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row>
    <row r="263" spans="1:30" x14ac:dyDescent="0.2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row>
    <row r="264" spans="1:30" x14ac:dyDescent="0.2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row>
    <row r="265" spans="1:30" x14ac:dyDescent="0.2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row>
    <row r="266" spans="1:30" x14ac:dyDescent="0.2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row>
    <row r="267" spans="1:30" x14ac:dyDescent="0.2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row>
    <row r="268" spans="1:30" x14ac:dyDescent="0.2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row>
    <row r="269" spans="1:30" x14ac:dyDescent="0.2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row>
    <row r="270" spans="1:30" x14ac:dyDescent="0.2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row>
    <row r="271" spans="1:30" x14ac:dyDescent="0.2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row>
    <row r="272" spans="1:30" x14ac:dyDescent="0.2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row>
    <row r="273" spans="1:30" x14ac:dyDescent="0.2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row>
    <row r="274" spans="1:30" x14ac:dyDescent="0.2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row>
    <row r="275" spans="1:30" x14ac:dyDescent="0.2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row>
    <row r="276" spans="1:30" x14ac:dyDescent="0.2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row>
    <row r="277" spans="1:30" x14ac:dyDescent="0.2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row>
    <row r="278" spans="1:30" x14ac:dyDescent="0.2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row>
    <row r="279" spans="1:30" x14ac:dyDescent="0.2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row>
    <row r="280" spans="1:30" x14ac:dyDescent="0.2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row>
    <row r="281" spans="1:30" x14ac:dyDescent="0.2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row>
    <row r="282" spans="1:30" x14ac:dyDescent="0.2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row>
    <row r="283" spans="1:30" x14ac:dyDescent="0.2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row>
    <row r="284" spans="1:30" x14ac:dyDescent="0.2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row>
    <row r="285" spans="1:30" x14ac:dyDescent="0.2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row>
    <row r="286" spans="1:30" x14ac:dyDescent="0.2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row>
    <row r="287" spans="1:30" x14ac:dyDescent="0.2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row>
    <row r="288" spans="1:30" x14ac:dyDescent="0.2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row>
    <row r="289" spans="1:30" x14ac:dyDescent="0.2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row>
    <row r="290" spans="1:30" x14ac:dyDescent="0.2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row>
    <row r="291" spans="1:30" x14ac:dyDescent="0.2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row>
    <row r="292" spans="1:30" x14ac:dyDescent="0.2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row>
    <row r="293" spans="1:30" x14ac:dyDescent="0.2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row>
    <row r="294" spans="1:30" x14ac:dyDescent="0.2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row>
    <row r="295" spans="1:30" x14ac:dyDescent="0.2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row>
    <row r="296" spans="1:30" x14ac:dyDescent="0.2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row>
    <row r="297" spans="1:30" x14ac:dyDescent="0.2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row>
    <row r="298" spans="1:30" x14ac:dyDescent="0.2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row>
    <row r="299" spans="1:30" x14ac:dyDescent="0.2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row>
    <row r="300" spans="1:30" x14ac:dyDescent="0.2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row>
    <row r="301" spans="1:30" x14ac:dyDescent="0.2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row>
    <row r="302" spans="1:30" x14ac:dyDescent="0.2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row>
    <row r="303" spans="1:30" x14ac:dyDescent="0.2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row>
    <row r="304" spans="1:30" x14ac:dyDescent="0.2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row>
    <row r="305" spans="1:30" x14ac:dyDescent="0.2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row>
    <row r="306" spans="1:30" x14ac:dyDescent="0.2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row>
    <row r="307" spans="1:30" x14ac:dyDescent="0.2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row>
    <row r="308" spans="1:30" x14ac:dyDescent="0.2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row>
    <row r="309" spans="1:30" x14ac:dyDescent="0.2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row>
    <row r="310" spans="1:30" x14ac:dyDescent="0.2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row>
    <row r="311" spans="1:30" x14ac:dyDescent="0.2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row>
    <row r="312" spans="1:30" x14ac:dyDescent="0.2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row>
    <row r="313" spans="1:30" x14ac:dyDescent="0.2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row>
    <row r="314" spans="1:30" x14ac:dyDescent="0.2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row>
    <row r="315" spans="1:30" x14ac:dyDescent="0.2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row>
    <row r="316" spans="1:30" x14ac:dyDescent="0.2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row>
    <row r="317" spans="1:30" x14ac:dyDescent="0.2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row>
    <row r="318" spans="1:30" x14ac:dyDescent="0.2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row>
    <row r="319" spans="1:30" x14ac:dyDescent="0.2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row>
    <row r="320" spans="1:30" x14ac:dyDescent="0.2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row>
    <row r="321" spans="1:30" x14ac:dyDescent="0.2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row>
    <row r="322" spans="1:30" x14ac:dyDescent="0.2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row>
    <row r="323" spans="1:30" x14ac:dyDescent="0.2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spans="1:30" x14ac:dyDescent="0.2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row>
    <row r="325" spans="1:30" x14ac:dyDescent="0.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row>
    <row r="326" spans="1:30" x14ac:dyDescent="0.2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row>
    <row r="327" spans="1:30" x14ac:dyDescent="0.2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row>
    <row r="328" spans="1:30" x14ac:dyDescent="0.2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row>
    <row r="329" spans="1:30" x14ac:dyDescent="0.2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row>
    <row r="330" spans="1:30" x14ac:dyDescent="0.2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row>
    <row r="331" spans="1:30" x14ac:dyDescent="0.2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row>
    <row r="332" spans="1:30" x14ac:dyDescent="0.2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row>
    <row r="333" spans="1:30" x14ac:dyDescent="0.2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spans="1:30" x14ac:dyDescent="0.2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row>
    <row r="335" spans="1:30" x14ac:dyDescent="0.2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row>
    <row r="336" spans="1:30" x14ac:dyDescent="0.2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row>
    <row r="337" spans="1:30" x14ac:dyDescent="0.2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row>
    <row r="338" spans="1:30" x14ac:dyDescent="0.2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row>
    <row r="339" spans="1:30" x14ac:dyDescent="0.2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row>
    <row r="340" spans="1:30" x14ac:dyDescent="0.2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row>
    <row r="341" spans="1:30" x14ac:dyDescent="0.2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row>
    <row r="342" spans="1:30" x14ac:dyDescent="0.2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row>
    <row r="343" spans="1:30" x14ac:dyDescent="0.2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row>
    <row r="344" spans="1:30" x14ac:dyDescent="0.2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row>
    <row r="345" spans="1:30" x14ac:dyDescent="0.2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row>
    <row r="346" spans="1:30" x14ac:dyDescent="0.2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row>
    <row r="347" spans="1:30" x14ac:dyDescent="0.2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row>
    <row r="348" spans="1:30" x14ac:dyDescent="0.2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row>
    <row r="349" spans="1:30" x14ac:dyDescent="0.2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row>
    <row r="350" spans="1:30" x14ac:dyDescent="0.2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row>
    <row r="351" spans="1:30" x14ac:dyDescent="0.2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row>
    <row r="352" spans="1:30" x14ac:dyDescent="0.2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row>
    <row r="353" spans="1:30" x14ac:dyDescent="0.2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row>
    <row r="354" spans="1:30" x14ac:dyDescent="0.2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row>
    <row r="355" spans="1:30" x14ac:dyDescent="0.2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row>
    <row r="356" spans="1:30" x14ac:dyDescent="0.2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row>
    <row r="357" spans="1:30" x14ac:dyDescent="0.2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row>
    <row r="358" spans="1:30" x14ac:dyDescent="0.2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row>
    <row r="359" spans="1:30" x14ac:dyDescent="0.2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row>
    <row r="360" spans="1:30" x14ac:dyDescent="0.2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row>
    <row r="361" spans="1:30" x14ac:dyDescent="0.2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row>
    <row r="362" spans="1:30" x14ac:dyDescent="0.2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row>
    <row r="363" spans="1:30" x14ac:dyDescent="0.2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row>
    <row r="364" spans="1:30" x14ac:dyDescent="0.2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row>
    <row r="365" spans="1:30" x14ac:dyDescent="0.2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row>
    <row r="366" spans="1:30" x14ac:dyDescent="0.2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row>
    <row r="367" spans="1:30" x14ac:dyDescent="0.2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row>
    <row r="368" spans="1:30" x14ac:dyDescent="0.2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row>
    <row r="369" spans="1:30" x14ac:dyDescent="0.2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row>
    <row r="370" spans="1:30" x14ac:dyDescent="0.2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row>
    <row r="371" spans="1:30" x14ac:dyDescent="0.2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row>
    <row r="372" spans="1:30" x14ac:dyDescent="0.2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row>
    <row r="373" spans="1:30" x14ac:dyDescent="0.2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row>
    <row r="374" spans="1:30" x14ac:dyDescent="0.2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row>
    <row r="375" spans="1:30" x14ac:dyDescent="0.2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row>
    <row r="376" spans="1:30" x14ac:dyDescent="0.2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row>
    <row r="377" spans="1:30" x14ac:dyDescent="0.2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row>
    <row r="378" spans="1:30" x14ac:dyDescent="0.2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row>
    <row r="379" spans="1:30" x14ac:dyDescent="0.2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row>
    <row r="380" spans="1:30" x14ac:dyDescent="0.2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row>
    <row r="381" spans="1:30" x14ac:dyDescent="0.2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row>
    <row r="382" spans="1:30" x14ac:dyDescent="0.2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row>
    <row r="383" spans="1:30" x14ac:dyDescent="0.2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row>
    <row r="384" spans="1:30" x14ac:dyDescent="0.2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row>
    <row r="385" spans="1:30" x14ac:dyDescent="0.2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row>
    <row r="386" spans="1:30" x14ac:dyDescent="0.2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row>
    <row r="387" spans="1:30" x14ac:dyDescent="0.2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row>
    <row r="388" spans="1:30" x14ac:dyDescent="0.2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row>
    <row r="389" spans="1:30" x14ac:dyDescent="0.2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row>
    <row r="390" spans="1:30" x14ac:dyDescent="0.2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row>
    <row r="391" spans="1:30" x14ac:dyDescent="0.2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row>
    <row r="392" spans="1:30" x14ac:dyDescent="0.2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row>
    <row r="393" spans="1:30" x14ac:dyDescent="0.2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row>
    <row r="394" spans="1:30" x14ac:dyDescent="0.2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row>
    <row r="395" spans="1:30" x14ac:dyDescent="0.2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row>
    <row r="396" spans="1:30" x14ac:dyDescent="0.2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row>
    <row r="397" spans="1:30" x14ac:dyDescent="0.2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row>
    <row r="398" spans="1:30" x14ac:dyDescent="0.2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row>
    <row r="399" spans="1:30" x14ac:dyDescent="0.2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row>
    <row r="400" spans="1:30" x14ac:dyDescent="0.2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row>
    <row r="401" spans="1:30" x14ac:dyDescent="0.2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row>
    <row r="402" spans="1:30" x14ac:dyDescent="0.2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row>
    <row r="403" spans="1:30" x14ac:dyDescent="0.2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row>
    <row r="404" spans="1:30" x14ac:dyDescent="0.2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row>
    <row r="405" spans="1:30" x14ac:dyDescent="0.2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row>
    <row r="406" spans="1:30" x14ac:dyDescent="0.2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row>
    <row r="407" spans="1:30" x14ac:dyDescent="0.2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row>
    <row r="408" spans="1:30" x14ac:dyDescent="0.2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row>
    <row r="409" spans="1:30" x14ac:dyDescent="0.2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row>
    <row r="410" spans="1:30" x14ac:dyDescent="0.2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row>
    <row r="411" spans="1:30" x14ac:dyDescent="0.2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row>
    <row r="412" spans="1:30" x14ac:dyDescent="0.2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row>
    <row r="413" spans="1:30" x14ac:dyDescent="0.2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row>
    <row r="414" spans="1:30" x14ac:dyDescent="0.2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row>
    <row r="415" spans="1:30" x14ac:dyDescent="0.2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row>
    <row r="416" spans="1:30" x14ac:dyDescent="0.2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row>
    <row r="417" spans="1:30" x14ac:dyDescent="0.2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row>
    <row r="418" spans="1:30" x14ac:dyDescent="0.2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row>
    <row r="419" spans="1:30" x14ac:dyDescent="0.2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row>
    <row r="420" spans="1:30" x14ac:dyDescent="0.2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row>
    <row r="421" spans="1:30" x14ac:dyDescent="0.2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row>
    <row r="422" spans="1:30" x14ac:dyDescent="0.2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row>
    <row r="423" spans="1:30" x14ac:dyDescent="0.2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row>
    <row r="424" spans="1:30" x14ac:dyDescent="0.2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row>
    <row r="425" spans="1:30" x14ac:dyDescent="0.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row>
    <row r="426" spans="1:30" x14ac:dyDescent="0.2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row>
    <row r="427" spans="1:30" x14ac:dyDescent="0.2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row>
    <row r="428" spans="1:30" x14ac:dyDescent="0.2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row>
    <row r="429" spans="1:30" x14ac:dyDescent="0.2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row>
    <row r="430" spans="1:30" x14ac:dyDescent="0.2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row>
    <row r="431" spans="1:30" x14ac:dyDescent="0.2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row>
    <row r="432" spans="1:30" x14ac:dyDescent="0.2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row>
    <row r="433" spans="1:30" x14ac:dyDescent="0.2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row>
    <row r="434" spans="1:30" x14ac:dyDescent="0.2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row>
    <row r="435" spans="1:30" x14ac:dyDescent="0.2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row>
    <row r="436" spans="1:30" x14ac:dyDescent="0.2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row>
    <row r="437" spans="1:30" x14ac:dyDescent="0.2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row>
    <row r="438" spans="1:30" x14ac:dyDescent="0.2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row>
    <row r="439" spans="1:30" x14ac:dyDescent="0.2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row>
    <row r="440" spans="1:30" x14ac:dyDescent="0.2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row>
    <row r="441" spans="1:30" x14ac:dyDescent="0.2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row>
    <row r="442" spans="1:30" x14ac:dyDescent="0.2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row>
    <row r="443" spans="1:30" x14ac:dyDescent="0.2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row>
    <row r="444" spans="1:30" x14ac:dyDescent="0.2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row>
    <row r="445" spans="1:30" x14ac:dyDescent="0.2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row>
    <row r="446" spans="1:30" x14ac:dyDescent="0.2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row>
    <row r="447" spans="1:30" x14ac:dyDescent="0.2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row>
    <row r="448" spans="1:30" x14ac:dyDescent="0.2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row>
    <row r="449" spans="1:30" x14ac:dyDescent="0.2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row>
    <row r="450" spans="1:30" x14ac:dyDescent="0.2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row>
    <row r="451" spans="1:30" x14ac:dyDescent="0.2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row>
    <row r="452" spans="1:30" x14ac:dyDescent="0.2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row>
    <row r="453" spans="1:30" x14ac:dyDescent="0.2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row>
    <row r="454" spans="1:30" x14ac:dyDescent="0.2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row>
    <row r="455" spans="1:30" x14ac:dyDescent="0.2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row>
    <row r="456" spans="1:30" x14ac:dyDescent="0.2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row>
    <row r="457" spans="1:30" x14ac:dyDescent="0.2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row>
    <row r="458" spans="1:30" x14ac:dyDescent="0.2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row>
    <row r="459" spans="1:30" x14ac:dyDescent="0.2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row>
    <row r="460" spans="1:30" x14ac:dyDescent="0.2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row>
    <row r="461" spans="1:30" x14ac:dyDescent="0.2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row>
    <row r="462" spans="1:30" x14ac:dyDescent="0.2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row>
    <row r="463" spans="1:30" x14ac:dyDescent="0.2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row>
    <row r="464" spans="1:30" x14ac:dyDescent="0.2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row>
    <row r="465" spans="1:30" x14ac:dyDescent="0.2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row>
    <row r="466" spans="1:30" x14ac:dyDescent="0.2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row>
    <row r="467" spans="1:30" x14ac:dyDescent="0.2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row>
    <row r="468" spans="1:30" x14ac:dyDescent="0.2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row>
    <row r="469" spans="1:30" x14ac:dyDescent="0.2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row>
    <row r="470" spans="1:30" x14ac:dyDescent="0.2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row>
    <row r="471" spans="1:30" x14ac:dyDescent="0.2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row>
    <row r="472" spans="1:30" x14ac:dyDescent="0.2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row>
    <row r="473" spans="1:30" x14ac:dyDescent="0.2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row>
    <row r="474" spans="1:30" x14ac:dyDescent="0.2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row>
    <row r="475" spans="1:30" x14ac:dyDescent="0.2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row>
    <row r="476" spans="1:30" x14ac:dyDescent="0.2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row>
    <row r="477" spans="1:30" x14ac:dyDescent="0.2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row>
    <row r="478" spans="1:30" x14ac:dyDescent="0.2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row>
    <row r="479" spans="1:30" x14ac:dyDescent="0.2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row>
    <row r="480" spans="1:30" x14ac:dyDescent="0.2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row>
    <row r="481" spans="1:30" x14ac:dyDescent="0.2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row>
    <row r="482" spans="1:30" x14ac:dyDescent="0.2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row>
    <row r="483" spans="1:30" x14ac:dyDescent="0.2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row>
    <row r="484" spans="1:30" x14ac:dyDescent="0.2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row>
    <row r="485" spans="1:30" x14ac:dyDescent="0.2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row>
    <row r="486" spans="1:30" x14ac:dyDescent="0.2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row>
    <row r="487" spans="1:30" x14ac:dyDescent="0.2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row>
    <row r="488" spans="1:30" x14ac:dyDescent="0.2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row>
    <row r="489" spans="1:30" x14ac:dyDescent="0.2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row>
    <row r="490" spans="1:30" x14ac:dyDescent="0.2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row>
    <row r="491" spans="1:30" x14ac:dyDescent="0.2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row>
    <row r="492" spans="1:30" x14ac:dyDescent="0.2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row>
    <row r="493" spans="1:30" x14ac:dyDescent="0.2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row>
    <row r="494" spans="1:30" x14ac:dyDescent="0.2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row>
    <row r="495" spans="1:30" x14ac:dyDescent="0.2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row>
    <row r="496" spans="1:30" x14ac:dyDescent="0.2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row>
    <row r="497" spans="1:30" x14ac:dyDescent="0.2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row>
    <row r="498" spans="1:30" x14ac:dyDescent="0.2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row>
    <row r="499" spans="1:30" x14ac:dyDescent="0.2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row>
    <row r="500" spans="1:30" x14ac:dyDescent="0.2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row>
    <row r="501" spans="1:30" x14ac:dyDescent="0.2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row>
    <row r="502" spans="1:30" x14ac:dyDescent="0.2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row>
    <row r="503" spans="1:30" x14ac:dyDescent="0.2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row>
    <row r="504" spans="1:30" x14ac:dyDescent="0.2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row>
    <row r="505" spans="1:30" x14ac:dyDescent="0.2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row>
    <row r="506" spans="1:30" x14ac:dyDescent="0.2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row>
    <row r="507" spans="1:30" x14ac:dyDescent="0.2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row>
    <row r="508" spans="1:30" x14ac:dyDescent="0.2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row>
    <row r="509" spans="1:30" x14ac:dyDescent="0.2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row>
    <row r="510" spans="1:30" x14ac:dyDescent="0.2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row>
    <row r="511" spans="1:30" x14ac:dyDescent="0.2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row>
    <row r="512" spans="1:30" x14ac:dyDescent="0.2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row>
    <row r="513" spans="1:30" x14ac:dyDescent="0.2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row>
    <row r="514" spans="1:30" x14ac:dyDescent="0.2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row>
    <row r="515" spans="1:30" x14ac:dyDescent="0.2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row>
    <row r="516" spans="1:30" x14ac:dyDescent="0.2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row>
    <row r="517" spans="1:30" x14ac:dyDescent="0.2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row>
    <row r="518" spans="1:30" x14ac:dyDescent="0.2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row>
    <row r="519" spans="1:30" x14ac:dyDescent="0.2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row>
    <row r="520" spans="1:30" x14ac:dyDescent="0.2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row>
    <row r="521" spans="1:30" x14ac:dyDescent="0.2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row>
    <row r="522" spans="1:30" x14ac:dyDescent="0.2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row>
    <row r="523" spans="1:30" x14ac:dyDescent="0.2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row>
    <row r="524" spans="1:30" x14ac:dyDescent="0.2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row>
    <row r="525" spans="1:30" x14ac:dyDescent="0.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row>
    <row r="526" spans="1:30" x14ac:dyDescent="0.2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row>
    <row r="527" spans="1:30" x14ac:dyDescent="0.2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row>
    <row r="528" spans="1:30" x14ac:dyDescent="0.2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row>
    <row r="529" spans="1:30" x14ac:dyDescent="0.2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row>
    <row r="530" spans="1:30" x14ac:dyDescent="0.2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row>
    <row r="531" spans="1:30" x14ac:dyDescent="0.2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row>
    <row r="532" spans="1:30" x14ac:dyDescent="0.2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row>
    <row r="533" spans="1:30" x14ac:dyDescent="0.2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row>
    <row r="534" spans="1:30" x14ac:dyDescent="0.2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row>
    <row r="535" spans="1:30" x14ac:dyDescent="0.2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row>
    <row r="536" spans="1:30" x14ac:dyDescent="0.2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row>
    <row r="537" spans="1:30" x14ac:dyDescent="0.2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row>
    <row r="538" spans="1:30" x14ac:dyDescent="0.2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row>
    <row r="539" spans="1:30" x14ac:dyDescent="0.2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row>
    <row r="540" spans="1:30" x14ac:dyDescent="0.2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row>
    <row r="541" spans="1:30" x14ac:dyDescent="0.2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row>
    <row r="542" spans="1:30" x14ac:dyDescent="0.2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row>
    <row r="543" spans="1:30" x14ac:dyDescent="0.2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row>
    <row r="544" spans="1:30" x14ac:dyDescent="0.2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row>
    <row r="545" spans="1:30" x14ac:dyDescent="0.2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row>
    <row r="546" spans="1:30" x14ac:dyDescent="0.2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row>
    <row r="547" spans="1:30" x14ac:dyDescent="0.2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row>
    <row r="548" spans="1:30" x14ac:dyDescent="0.2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row>
    <row r="549" spans="1:30" x14ac:dyDescent="0.2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row>
    <row r="550" spans="1:30" x14ac:dyDescent="0.2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row>
    <row r="551" spans="1:30" x14ac:dyDescent="0.2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row>
    <row r="552" spans="1:30" x14ac:dyDescent="0.2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row>
    <row r="553" spans="1:30" x14ac:dyDescent="0.2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row>
    <row r="554" spans="1:30" x14ac:dyDescent="0.2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row>
    <row r="555" spans="1:30" x14ac:dyDescent="0.2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row>
    <row r="556" spans="1:30" x14ac:dyDescent="0.2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row>
    <row r="557" spans="1:30" x14ac:dyDescent="0.2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row>
    <row r="558" spans="1:30" x14ac:dyDescent="0.2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row>
    <row r="559" spans="1:30" x14ac:dyDescent="0.2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row>
    <row r="560" spans="1:30" x14ac:dyDescent="0.2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row>
    <row r="561" spans="1:30" x14ac:dyDescent="0.2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row>
    <row r="562" spans="1:30" x14ac:dyDescent="0.2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row>
    <row r="563" spans="1:30" x14ac:dyDescent="0.2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row>
    <row r="564" spans="1:30" x14ac:dyDescent="0.2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row>
    <row r="565" spans="1:30" x14ac:dyDescent="0.2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row>
    <row r="566" spans="1:30" x14ac:dyDescent="0.2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row>
    <row r="567" spans="1:30" x14ac:dyDescent="0.2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row>
    <row r="568" spans="1:30" x14ac:dyDescent="0.2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row>
    <row r="569" spans="1:30" x14ac:dyDescent="0.2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row>
    <row r="570" spans="1:30" x14ac:dyDescent="0.2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row>
    <row r="571" spans="1:30" x14ac:dyDescent="0.2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row>
    <row r="572" spans="1:30" x14ac:dyDescent="0.2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row>
    <row r="573" spans="1:30" x14ac:dyDescent="0.2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row>
    <row r="574" spans="1:30" x14ac:dyDescent="0.2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row>
    <row r="575" spans="1:30" x14ac:dyDescent="0.2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row>
    <row r="576" spans="1:30" x14ac:dyDescent="0.2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row>
    <row r="577" spans="1:30" x14ac:dyDescent="0.2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row>
    <row r="578" spans="1:30" x14ac:dyDescent="0.2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row>
    <row r="579" spans="1:30" x14ac:dyDescent="0.2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row>
    <row r="580" spans="1:30" x14ac:dyDescent="0.2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row>
    <row r="581" spans="1:30" x14ac:dyDescent="0.2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row>
    <row r="582" spans="1:30" x14ac:dyDescent="0.2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row>
    <row r="583" spans="1:30" x14ac:dyDescent="0.2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row>
    <row r="584" spans="1:30" x14ac:dyDescent="0.2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row>
    <row r="585" spans="1:30" x14ac:dyDescent="0.2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row>
    <row r="586" spans="1:30" x14ac:dyDescent="0.2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row>
    <row r="587" spans="1:30" x14ac:dyDescent="0.2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row>
    <row r="588" spans="1:30" x14ac:dyDescent="0.2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row>
    <row r="589" spans="1:30" x14ac:dyDescent="0.2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row>
    <row r="590" spans="1:30" x14ac:dyDescent="0.2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row>
    <row r="591" spans="1:30" x14ac:dyDescent="0.2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row>
    <row r="592" spans="1:30" x14ac:dyDescent="0.2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row>
    <row r="593" spans="1:30" x14ac:dyDescent="0.2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row>
    <row r="594" spans="1:30" x14ac:dyDescent="0.2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row>
    <row r="595" spans="1:30" x14ac:dyDescent="0.2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row>
    <row r="596" spans="1:30" x14ac:dyDescent="0.2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row>
    <row r="597" spans="1:30" x14ac:dyDescent="0.2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row>
    <row r="598" spans="1:30" x14ac:dyDescent="0.2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row>
    <row r="599" spans="1:30" x14ac:dyDescent="0.2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row>
    <row r="600" spans="1:30" x14ac:dyDescent="0.2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row>
    <row r="601" spans="1:30" x14ac:dyDescent="0.2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row>
    <row r="602" spans="1:30" x14ac:dyDescent="0.2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row>
    <row r="603" spans="1:30" x14ac:dyDescent="0.2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row>
    <row r="604" spans="1:30" x14ac:dyDescent="0.2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row>
    <row r="605" spans="1:30" x14ac:dyDescent="0.2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row>
    <row r="606" spans="1:30" x14ac:dyDescent="0.2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row>
    <row r="607" spans="1:30" x14ac:dyDescent="0.2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row>
    <row r="608" spans="1:30" x14ac:dyDescent="0.2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row>
    <row r="609" spans="1:30" x14ac:dyDescent="0.2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row>
    <row r="610" spans="1:30" x14ac:dyDescent="0.2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row>
    <row r="611" spans="1:30" x14ac:dyDescent="0.2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row>
    <row r="612" spans="1:30" x14ac:dyDescent="0.2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row>
    <row r="613" spans="1:30" x14ac:dyDescent="0.2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row>
    <row r="614" spans="1:30" x14ac:dyDescent="0.2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row>
    <row r="615" spans="1:30" x14ac:dyDescent="0.2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row>
    <row r="616" spans="1:30" x14ac:dyDescent="0.2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row>
    <row r="617" spans="1:30" x14ac:dyDescent="0.2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row>
    <row r="618" spans="1:30" x14ac:dyDescent="0.2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row>
    <row r="619" spans="1:30" x14ac:dyDescent="0.2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row>
    <row r="620" spans="1:30" x14ac:dyDescent="0.2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row>
    <row r="621" spans="1:30" x14ac:dyDescent="0.2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row>
    <row r="622" spans="1:30" x14ac:dyDescent="0.2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row>
    <row r="623" spans="1:30" x14ac:dyDescent="0.2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row>
    <row r="624" spans="1:30" x14ac:dyDescent="0.2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row>
    <row r="625" spans="1:30" x14ac:dyDescent="0.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row>
    <row r="626" spans="1:30" x14ac:dyDescent="0.2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row>
    <row r="627" spans="1:30" x14ac:dyDescent="0.2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row>
    <row r="628" spans="1:30" x14ac:dyDescent="0.2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row>
    <row r="629" spans="1:30" x14ac:dyDescent="0.2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row>
    <row r="630" spans="1:30" x14ac:dyDescent="0.2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row>
    <row r="631" spans="1:30" x14ac:dyDescent="0.2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row>
    <row r="632" spans="1:30" x14ac:dyDescent="0.2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row>
    <row r="633" spans="1:30" x14ac:dyDescent="0.2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row>
    <row r="634" spans="1:30" x14ac:dyDescent="0.2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row>
    <row r="635" spans="1:30" x14ac:dyDescent="0.2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row>
    <row r="636" spans="1:30" x14ac:dyDescent="0.2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row>
    <row r="637" spans="1:30" x14ac:dyDescent="0.2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row>
    <row r="638" spans="1:30" x14ac:dyDescent="0.2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row>
    <row r="639" spans="1:30" x14ac:dyDescent="0.2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row>
    <row r="640" spans="1:30" x14ac:dyDescent="0.2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row>
    <row r="641" spans="1:30" x14ac:dyDescent="0.2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row>
    <row r="642" spans="1:30" x14ac:dyDescent="0.2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row>
    <row r="643" spans="1:30" x14ac:dyDescent="0.2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row>
    <row r="644" spans="1:30" x14ac:dyDescent="0.2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row>
    <row r="645" spans="1:30" x14ac:dyDescent="0.2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row>
    <row r="646" spans="1:30" x14ac:dyDescent="0.2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row>
    <row r="647" spans="1:30" x14ac:dyDescent="0.2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row>
    <row r="648" spans="1:30" x14ac:dyDescent="0.2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row>
    <row r="649" spans="1:30" x14ac:dyDescent="0.2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row>
    <row r="650" spans="1:30" x14ac:dyDescent="0.2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row>
    <row r="651" spans="1:30" x14ac:dyDescent="0.2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row>
    <row r="652" spans="1:30" x14ac:dyDescent="0.2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row>
    <row r="653" spans="1:30" x14ac:dyDescent="0.2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row>
    <row r="654" spans="1:30" x14ac:dyDescent="0.2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row>
    <row r="655" spans="1:30" x14ac:dyDescent="0.2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row>
    <row r="656" spans="1:30" x14ac:dyDescent="0.2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row>
    <row r="657" spans="1:30" x14ac:dyDescent="0.2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row>
    <row r="658" spans="1:30" x14ac:dyDescent="0.2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row>
    <row r="659" spans="1:30" x14ac:dyDescent="0.2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row>
    <row r="660" spans="1:30" x14ac:dyDescent="0.2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row>
    <row r="661" spans="1:30" x14ac:dyDescent="0.2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row>
    <row r="662" spans="1:30" x14ac:dyDescent="0.2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row>
    <row r="663" spans="1:30" x14ac:dyDescent="0.2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row>
    <row r="664" spans="1:30" x14ac:dyDescent="0.2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row>
    <row r="665" spans="1:30" x14ac:dyDescent="0.2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row>
    <row r="666" spans="1:30" x14ac:dyDescent="0.2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row>
    <row r="667" spans="1:30" x14ac:dyDescent="0.2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row>
    <row r="668" spans="1:30" x14ac:dyDescent="0.2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row>
    <row r="669" spans="1:30" x14ac:dyDescent="0.2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row>
    <row r="670" spans="1:30" x14ac:dyDescent="0.2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row>
    <row r="671" spans="1:30" x14ac:dyDescent="0.2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row>
    <row r="672" spans="1:30" x14ac:dyDescent="0.2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row>
    <row r="673" spans="1:30" x14ac:dyDescent="0.2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row>
    <row r="674" spans="1:30" x14ac:dyDescent="0.2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row>
    <row r="675" spans="1:30" x14ac:dyDescent="0.2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row>
    <row r="676" spans="1:30" x14ac:dyDescent="0.2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row>
    <row r="677" spans="1:30" x14ac:dyDescent="0.2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row>
    <row r="678" spans="1:30" x14ac:dyDescent="0.2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row>
    <row r="679" spans="1:30" x14ac:dyDescent="0.2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row>
    <row r="680" spans="1:30" x14ac:dyDescent="0.2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row>
    <row r="681" spans="1:30" x14ac:dyDescent="0.2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row>
    <row r="682" spans="1:30" x14ac:dyDescent="0.2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row>
    <row r="683" spans="1:30" x14ac:dyDescent="0.2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row>
    <row r="684" spans="1:30" x14ac:dyDescent="0.2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row>
    <row r="685" spans="1:30" x14ac:dyDescent="0.2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row>
    <row r="686" spans="1:30" x14ac:dyDescent="0.2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row>
    <row r="687" spans="1:30" x14ac:dyDescent="0.2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row>
    <row r="688" spans="1:30" x14ac:dyDescent="0.2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row>
    <row r="689" spans="1:30" x14ac:dyDescent="0.2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row>
    <row r="690" spans="1:30" x14ac:dyDescent="0.2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row>
    <row r="691" spans="1:30" x14ac:dyDescent="0.2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row>
    <row r="692" spans="1:30" x14ac:dyDescent="0.2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row>
    <row r="693" spans="1:30" x14ac:dyDescent="0.2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row>
    <row r="694" spans="1:30" x14ac:dyDescent="0.2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row>
    <row r="695" spans="1:30" x14ac:dyDescent="0.2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row>
    <row r="696" spans="1:30" x14ac:dyDescent="0.2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row>
    <row r="697" spans="1:30" x14ac:dyDescent="0.2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row>
    <row r="698" spans="1:30" x14ac:dyDescent="0.2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row>
    <row r="699" spans="1:30" x14ac:dyDescent="0.2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row>
    <row r="700" spans="1:30" x14ac:dyDescent="0.2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row>
    <row r="701" spans="1:30" x14ac:dyDescent="0.2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row>
    <row r="702" spans="1:30" x14ac:dyDescent="0.2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row>
    <row r="703" spans="1:30" x14ac:dyDescent="0.2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row>
    <row r="704" spans="1:30" x14ac:dyDescent="0.2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row>
    <row r="705" spans="1:30" x14ac:dyDescent="0.2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row>
    <row r="706" spans="1:30" x14ac:dyDescent="0.2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row>
    <row r="707" spans="1:30" x14ac:dyDescent="0.2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row>
    <row r="708" spans="1:30" x14ac:dyDescent="0.2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row>
    <row r="709" spans="1:30" x14ac:dyDescent="0.2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row>
    <row r="710" spans="1:30" x14ac:dyDescent="0.2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row>
    <row r="711" spans="1:30" x14ac:dyDescent="0.2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row>
    <row r="712" spans="1:30" x14ac:dyDescent="0.2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row>
    <row r="713" spans="1:30" x14ac:dyDescent="0.2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row>
    <row r="714" spans="1:30" x14ac:dyDescent="0.2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row>
    <row r="715" spans="1:30" x14ac:dyDescent="0.2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row>
    <row r="716" spans="1:30" x14ac:dyDescent="0.2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row>
    <row r="717" spans="1:30" x14ac:dyDescent="0.2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row>
    <row r="718" spans="1:30" x14ac:dyDescent="0.2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row>
    <row r="719" spans="1:30" x14ac:dyDescent="0.2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row>
    <row r="720" spans="1:30" x14ac:dyDescent="0.2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row>
    <row r="721" spans="1:30" x14ac:dyDescent="0.2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row>
    <row r="722" spans="1:30" x14ac:dyDescent="0.2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row>
    <row r="723" spans="1:30" x14ac:dyDescent="0.2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row>
    <row r="724" spans="1:30" x14ac:dyDescent="0.2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row>
    <row r="725" spans="1:30" x14ac:dyDescent="0.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row>
    <row r="726" spans="1:30" x14ac:dyDescent="0.2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row>
    <row r="727" spans="1:30" x14ac:dyDescent="0.2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row>
    <row r="728" spans="1:30" x14ac:dyDescent="0.2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row>
    <row r="729" spans="1:30" x14ac:dyDescent="0.2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row>
    <row r="730" spans="1:30" x14ac:dyDescent="0.2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row>
    <row r="731" spans="1:30" x14ac:dyDescent="0.2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row>
    <row r="732" spans="1:30" x14ac:dyDescent="0.2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row>
    <row r="733" spans="1:30" x14ac:dyDescent="0.2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row>
    <row r="734" spans="1:30" x14ac:dyDescent="0.2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row>
    <row r="735" spans="1:30" x14ac:dyDescent="0.2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row>
    <row r="736" spans="1:30" x14ac:dyDescent="0.2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row>
    <row r="737" spans="1:30" x14ac:dyDescent="0.2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row>
    <row r="738" spans="1:30" x14ac:dyDescent="0.2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row>
    <row r="739" spans="1:30" x14ac:dyDescent="0.2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row>
    <row r="740" spans="1:30" x14ac:dyDescent="0.2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row>
    <row r="741" spans="1:30" x14ac:dyDescent="0.2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row>
    <row r="742" spans="1:30" x14ac:dyDescent="0.2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row>
    <row r="743" spans="1:30" x14ac:dyDescent="0.2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row>
    <row r="744" spans="1:30" x14ac:dyDescent="0.2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row>
    <row r="745" spans="1:30" x14ac:dyDescent="0.2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row>
    <row r="746" spans="1:30" x14ac:dyDescent="0.2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row>
    <row r="747" spans="1:30" x14ac:dyDescent="0.2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row>
    <row r="748" spans="1:30" x14ac:dyDescent="0.2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row>
    <row r="749" spans="1:30" x14ac:dyDescent="0.2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row>
    <row r="750" spans="1:30" x14ac:dyDescent="0.2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row>
    <row r="751" spans="1:30" x14ac:dyDescent="0.2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row>
    <row r="752" spans="1:30" x14ac:dyDescent="0.2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row>
    <row r="753" spans="1:30" x14ac:dyDescent="0.2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row>
    <row r="754" spans="1:30" x14ac:dyDescent="0.2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row>
    <row r="755" spans="1:30" x14ac:dyDescent="0.2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row>
    <row r="756" spans="1:30" x14ac:dyDescent="0.2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row>
    <row r="757" spans="1:30" x14ac:dyDescent="0.2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row>
    <row r="758" spans="1:30" x14ac:dyDescent="0.2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row>
    <row r="759" spans="1:30" x14ac:dyDescent="0.2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row>
    <row r="760" spans="1:30" x14ac:dyDescent="0.2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row>
    <row r="761" spans="1:30" x14ac:dyDescent="0.2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row>
    <row r="762" spans="1:30" x14ac:dyDescent="0.2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row>
    <row r="763" spans="1:30" x14ac:dyDescent="0.2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row>
    <row r="764" spans="1:30" x14ac:dyDescent="0.2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row>
    <row r="765" spans="1:30" x14ac:dyDescent="0.2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row>
    <row r="766" spans="1:30" x14ac:dyDescent="0.2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row>
    <row r="767" spans="1:30" x14ac:dyDescent="0.2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row>
    <row r="768" spans="1:30" x14ac:dyDescent="0.2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row>
    <row r="769" spans="1:30" x14ac:dyDescent="0.2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row>
    <row r="770" spans="1:30" x14ac:dyDescent="0.2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row>
    <row r="771" spans="1:30" x14ac:dyDescent="0.2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row>
    <row r="772" spans="1:30" x14ac:dyDescent="0.2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row>
    <row r="773" spans="1:30" x14ac:dyDescent="0.2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row>
    <row r="774" spans="1:30" x14ac:dyDescent="0.2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row>
    <row r="775" spans="1:30" x14ac:dyDescent="0.2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row>
    <row r="776" spans="1:30" x14ac:dyDescent="0.2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row>
    <row r="777" spans="1:30" x14ac:dyDescent="0.2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row>
    <row r="778" spans="1:30" x14ac:dyDescent="0.2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row>
    <row r="779" spans="1:30" x14ac:dyDescent="0.2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row>
    <row r="780" spans="1:30" x14ac:dyDescent="0.2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row>
    <row r="781" spans="1:30" x14ac:dyDescent="0.2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row>
    <row r="782" spans="1:30" x14ac:dyDescent="0.2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row>
    <row r="783" spans="1:30" x14ac:dyDescent="0.2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row>
    <row r="784" spans="1:30" x14ac:dyDescent="0.2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row>
    <row r="785" spans="1:30" x14ac:dyDescent="0.2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row>
    <row r="786" spans="1:30" x14ac:dyDescent="0.2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row>
    <row r="787" spans="1:30" x14ac:dyDescent="0.2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row>
    <row r="788" spans="1:30" x14ac:dyDescent="0.2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row>
    <row r="789" spans="1:30" x14ac:dyDescent="0.2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row>
    <row r="790" spans="1:30" x14ac:dyDescent="0.2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row>
    <row r="791" spans="1:30" x14ac:dyDescent="0.2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row>
    <row r="792" spans="1:30" x14ac:dyDescent="0.2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row>
    <row r="793" spans="1:30" x14ac:dyDescent="0.2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row>
    <row r="794" spans="1:30" x14ac:dyDescent="0.2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row>
    <row r="795" spans="1:30" x14ac:dyDescent="0.2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row>
    <row r="796" spans="1:30" x14ac:dyDescent="0.2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row>
    <row r="797" spans="1:30" x14ac:dyDescent="0.2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row>
    <row r="798" spans="1:30" x14ac:dyDescent="0.2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row>
    <row r="799" spans="1:30" x14ac:dyDescent="0.2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row>
    <row r="800" spans="1:30" x14ac:dyDescent="0.2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row>
    <row r="801" spans="1:30" x14ac:dyDescent="0.2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row>
    <row r="802" spans="1:30" x14ac:dyDescent="0.2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row>
    <row r="803" spans="1:30" x14ac:dyDescent="0.2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row>
    <row r="804" spans="1:30" x14ac:dyDescent="0.2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row>
    <row r="805" spans="1:30" x14ac:dyDescent="0.2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row>
    <row r="806" spans="1:30" x14ac:dyDescent="0.2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row>
    <row r="807" spans="1:30" x14ac:dyDescent="0.2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row>
    <row r="808" spans="1:30" x14ac:dyDescent="0.2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row>
    <row r="809" spans="1:30" x14ac:dyDescent="0.2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row>
    <row r="810" spans="1:30" x14ac:dyDescent="0.2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row>
    <row r="811" spans="1:30" x14ac:dyDescent="0.2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row>
    <row r="812" spans="1:30" x14ac:dyDescent="0.2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row>
    <row r="813" spans="1:30" x14ac:dyDescent="0.2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row>
    <row r="814" spans="1:30" x14ac:dyDescent="0.2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row>
    <row r="815" spans="1:30" x14ac:dyDescent="0.2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row>
    <row r="816" spans="1:30" x14ac:dyDescent="0.2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row>
    <row r="817" spans="1:30" x14ac:dyDescent="0.2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row>
    <row r="818" spans="1:30" x14ac:dyDescent="0.2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row>
    <row r="819" spans="1:30" x14ac:dyDescent="0.2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row>
    <row r="820" spans="1:30" x14ac:dyDescent="0.2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row>
    <row r="821" spans="1:30" x14ac:dyDescent="0.2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row>
    <row r="822" spans="1:30" x14ac:dyDescent="0.2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row>
    <row r="823" spans="1:30" x14ac:dyDescent="0.2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row>
    <row r="824" spans="1:30" x14ac:dyDescent="0.2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row>
    <row r="825" spans="1:30" x14ac:dyDescent="0.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row>
    <row r="826" spans="1:30" x14ac:dyDescent="0.2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row>
    <row r="827" spans="1:30" x14ac:dyDescent="0.2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row>
    <row r="828" spans="1:30" x14ac:dyDescent="0.2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row>
    <row r="829" spans="1:30" x14ac:dyDescent="0.2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row>
    <row r="830" spans="1:30" x14ac:dyDescent="0.2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row>
    <row r="831" spans="1:30" x14ac:dyDescent="0.2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row>
    <row r="832" spans="1:30" x14ac:dyDescent="0.2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row>
    <row r="833" spans="1:30" x14ac:dyDescent="0.2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row>
    <row r="834" spans="1:30" x14ac:dyDescent="0.2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row>
    <row r="835" spans="1:30" x14ac:dyDescent="0.2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row>
    <row r="836" spans="1:30" x14ac:dyDescent="0.2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row>
    <row r="837" spans="1:30" x14ac:dyDescent="0.2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row>
    <row r="838" spans="1:30" x14ac:dyDescent="0.2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row>
    <row r="839" spans="1:30" x14ac:dyDescent="0.2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row>
    <row r="840" spans="1:30" x14ac:dyDescent="0.2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row>
    <row r="841" spans="1:30" x14ac:dyDescent="0.2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row>
    <row r="842" spans="1:30" x14ac:dyDescent="0.2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row>
    <row r="843" spans="1:30" x14ac:dyDescent="0.2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row>
    <row r="844" spans="1:30" x14ac:dyDescent="0.2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row>
    <row r="845" spans="1:30" x14ac:dyDescent="0.2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row>
    <row r="846" spans="1:30" x14ac:dyDescent="0.2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row>
    <row r="847" spans="1:30" x14ac:dyDescent="0.2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row>
    <row r="848" spans="1:30" x14ac:dyDescent="0.2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row>
    <row r="849" spans="1:30" x14ac:dyDescent="0.2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row>
    <row r="850" spans="1:30" x14ac:dyDescent="0.2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row>
    <row r="851" spans="1:30" x14ac:dyDescent="0.2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row>
    <row r="852" spans="1:30" x14ac:dyDescent="0.2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row>
    <row r="853" spans="1:30" x14ac:dyDescent="0.2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row>
    <row r="854" spans="1:30" x14ac:dyDescent="0.2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row>
    <row r="855" spans="1:30" x14ac:dyDescent="0.2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row>
    <row r="856" spans="1:30" x14ac:dyDescent="0.2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row>
    <row r="857" spans="1:30" x14ac:dyDescent="0.2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row>
    <row r="858" spans="1:30" x14ac:dyDescent="0.2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row>
    <row r="859" spans="1:30" x14ac:dyDescent="0.2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row>
    <row r="860" spans="1:30" x14ac:dyDescent="0.2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row>
    <row r="861" spans="1:30" x14ac:dyDescent="0.2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row>
    <row r="862" spans="1:30" x14ac:dyDescent="0.2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row>
    <row r="863" spans="1:30" x14ac:dyDescent="0.2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row>
    <row r="864" spans="1:30" x14ac:dyDescent="0.2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row>
    <row r="865" spans="1:30" x14ac:dyDescent="0.2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row>
    <row r="866" spans="1:30" x14ac:dyDescent="0.2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row>
    <row r="867" spans="1:30" x14ac:dyDescent="0.2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row>
    <row r="868" spans="1:30" x14ac:dyDescent="0.2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row>
    <row r="869" spans="1:30" x14ac:dyDescent="0.2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row>
    <row r="870" spans="1:30" x14ac:dyDescent="0.2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row>
    <row r="871" spans="1:30" x14ac:dyDescent="0.2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row>
    <row r="872" spans="1:30" x14ac:dyDescent="0.2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row>
    <row r="873" spans="1:30" x14ac:dyDescent="0.2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row>
    <row r="874" spans="1:30" x14ac:dyDescent="0.2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row>
    <row r="875" spans="1:30" x14ac:dyDescent="0.2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row>
    <row r="876" spans="1:30" x14ac:dyDescent="0.2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row>
    <row r="877" spans="1:30" x14ac:dyDescent="0.2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row>
    <row r="878" spans="1:30" x14ac:dyDescent="0.2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row>
    <row r="879" spans="1:30" x14ac:dyDescent="0.2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row>
    <row r="880" spans="1:30" x14ac:dyDescent="0.2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row>
    <row r="881" spans="1:30" x14ac:dyDescent="0.2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row>
    <row r="882" spans="1:30" x14ac:dyDescent="0.2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row>
    <row r="883" spans="1:30" x14ac:dyDescent="0.2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row>
    <row r="884" spans="1:30" x14ac:dyDescent="0.2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row>
    <row r="885" spans="1:30" x14ac:dyDescent="0.2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row>
    <row r="886" spans="1:30" x14ac:dyDescent="0.2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row>
    <row r="887" spans="1:30" x14ac:dyDescent="0.2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row>
    <row r="888" spans="1:30" x14ac:dyDescent="0.2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row>
    <row r="889" spans="1:30" x14ac:dyDescent="0.2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row>
    <row r="890" spans="1:30" x14ac:dyDescent="0.2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row>
    <row r="891" spans="1:30" x14ac:dyDescent="0.2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row>
    <row r="892" spans="1:30" x14ac:dyDescent="0.2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row>
    <row r="893" spans="1:30" x14ac:dyDescent="0.2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row>
    <row r="894" spans="1:30" x14ac:dyDescent="0.2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row>
    <row r="895" spans="1:30" x14ac:dyDescent="0.2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row>
    <row r="896" spans="1:30" x14ac:dyDescent="0.2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row>
    <row r="897" spans="1:30" x14ac:dyDescent="0.2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row>
    <row r="898" spans="1:30" x14ac:dyDescent="0.2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row>
    <row r="899" spans="1:30" x14ac:dyDescent="0.2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row>
    <row r="900" spans="1:30" x14ac:dyDescent="0.2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row>
    <row r="901" spans="1:30" x14ac:dyDescent="0.2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row>
    <row r="902" spans="1:30" x14ac:dyDescent="0.2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row>
    <row r="903" spans="1:30" x14ac:dyDescent="0.2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row>
    <row r="904" spans="1:30" x14ac:dyDescent="0.2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row>
    <row r="905" spans="1:30" x14ac:dyDescent="0.2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row>
    <row r="906" spans="1:30" x14ac:dyDescent="0.2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row>
    <row r="907" spans="1:30" x14ac:dyDescent="0.2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row>
    <row r="908" spans="1:30" x14ac:dyDescent="0.2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row>
    <row r="909" spans="1:30" x14ac:dyDescent="0.2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row>
    <row r="910" spans="1:30" x14ac:dyDescent="0.2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row>
    <row r="911" spans="1:30" x14ac:dyDescent="0.2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row>
    <row r="912" spans="1:30" x14ac:dyDescent="0.2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row>
    <row r="913" spans="1:30" x14ac:dyDescent="0.2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row>
    <row r="914" spans="1:30" x14ac:dyDescent="0.2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row>
    <row r="915" spans="1:30" x14ac:dyDescent="0.2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row>
    <row r="916" spans="1:30" x14ac:dyDescent="0.2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row>
    <row r="917" spans="1:30" x14ac:dyDescent="0.2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row>
    <row r="918" spans="1:30" x14ac:dyDescent="0.2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row>
    <row r="919" spans="1:30" x14ac:dyDescent="0.2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row>
    <row r="920" spans="1:30" x14ac:dyDescent="0.2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row>
    <row r="921" spans="1:30" x14ac:dyDescent="0.2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row>
    <row r="922" spans="1:30" x14ac:dyDescent="0.2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row>
    <row r="923" spans="1:30" x14ac:dyDescent="0.2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row>
    <row r="924" spans="1:30" x14ac:dyDescent="0.2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row>
    <row r="925" spans="1:30" x14ac:dyDescent="0.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row>
    <row r="926" spans="1:30" x14ac:dyDescent="0.2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row>
    <row r="927" spans="1:30" x14ac:dyDescent="0.2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row>
    <row r="928" spans="1:30" x14ac:dyDescent="0.2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row>
    <row r="929" spans="1:30" x14ac:dyDescent="0.2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row>
    <row r="930" spans="1:30" x14ac:dyDescent="0.2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row>
    <row r="931" spans="1:30" x14ac:dyDescent="0.2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row>
    <row r="932" spans="1:30" x14ac:dyDescent="0.2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row>
    <row r="933" spans="1:30" x14ac:dyDescent="0.2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row>
    <row r="934" spans="1:30" x14ac:dyDescent="0.2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row>
    <row r="935" spans="1:30" x14ac:dyDescent="0.2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row>
    <row r="936" spans="1:30" x14ac:dyDescent="0.2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row>
    <row r="937" spans="1:30" x14ac:dyDescent="0.2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row>
    <row r="938" spans="1:30" x14ac:dyDescent="0.2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row>
    <row r="939" spans="1:30" x14ac:dyDescent="0.2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row>
    <row r="940" spans="1:30" x14ac:dyDescent="0.2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row>
    <row r="941" spans="1:30" x14ac:dyDescent="0.2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row>
    <row r="942" spans="1:30" x14ac:dyDescent="0.2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row>
    <row r="943" spans="1:30" x14ac:dyDescent="0.2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row>
    <row r="944" spans="1:30" x14ac:dyDescent="0.2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row>
    <row r="945" spans="1:30" x14ac:dyDescent="0.2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row>
    <row r="946" spans="1:30" x14ac:dyDescent="0.2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row>
    <row r="947" spans="1:30" x14ac:dyDescent="0.2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row>
    <row r="948" spans="1:30" x14ac:dyDescent="0.2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row>
    <row r="949" spans="1:30" x14ac:dyDescent="0.2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row>
    <row r="950" spans="1:30" x14ac:dyDescent="0.2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row>
    <row r="951" spans="1:30" x14ac:dyDescent="0.2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row>
    <row r="952" spans="1:30" x14ac:dyDescent="0.2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row>
    <row r="953" spans="1:30" x14ac:dyDescent="0.2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row>
    <row r="954" spans="1:30" x14ac:dyDescent="0.2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row>
    <row r="955" spans="1:30" x14ac:dyDescent="0.2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row>
    <row r="956" spans="1:30" x14ac:dyDescent="0.2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row>
    <row r="957" spans="1:30" x14ac:dyDescent="0.2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row>
    <row r="958" spans="1:30" x14ac:dyDescent="0.2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row>
    <row r="959" spans="1:30" x14ac:dyDescent="0.2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row>
    <row r="960" spans="1:30" x14ac:dyDescent="0.2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row>
    <row r="961" spans="1:30" x14ac:dyDescent="0.2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row>
    <row r="962" spans="1:30" x14ac:dyDescent="0.2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row>
    <row r="963" spans="1:30" x14ac:dyDescent="0.2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row>
    <row r="964" spans="1:30" x14ac:dyDescent="0.2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row>
    <row r="965" spans="1:30" x14ac:dyDescent="0.2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row>
    <row r="966" spans="1:30" x14ac:dyDescent="0.2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row>
    <row r="967" spans="1:30" x14ac:dyDescent="0.2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row>
    <row r="968" spans="1:30" x14ac:dyDescent="0.2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row>
    <row r="969" spans="1:30" x14ac:dyDescent="0.2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row>
    <row r="970" spans="1:30" x14ac:dyDescent="0.2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row>
    <row r="971" spans="1:30" x14ac:dyDescent="0.2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row>
    <row r="972" spans="1:30" x14ac:dyDescent="0.2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row>
    <row r="973" spans="1:30" x14ac:dyDescent="0.2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row>
    <row r="974" spans="1:30" x14ac:dyDescent="0.2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row>
    <row r="975" spans="1:30" x14ac:dyDescent="0.2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row>
    <row r="976" spans="1:30" x14ac:dyDescent="0.2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row>
    <row r="977" spans="1:30" x14ac:dyDescent="0.2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row>
    <row r="978" spans="1:30" x14ac:dyDescent="0.2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row>
    <row r="979" spans="1:30" x14ac:dyDescent="0.2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row>
    <row r="980" spans="1:30" x14ac:dyDescent="0.2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row>
    <row r="981" spans="1:30" x14ac:dyDescent="0.2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row>
    <row r="982" spans="1:30" x14ac:dyDescent="0.2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row>
    <row r="983" spans="1:30" x14ac:dyDescent="0.2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row>
    <row r="984" spans="1:30" x14ac:dyDescent="0.2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row>
    <row r="985" spans="1:30" x14ac:dyDescent="0.2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row>
    <row r="986" spans="1:30" x14ac:dyDescent="0.2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row>
    <row r="987" spans="1:30" x14ac:dyDescent="0.2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row>
    <row r="988" spans="1:30" x14ac:dyDescent="0.2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row>
    <row r="989" spans="1:30" x14ac:dyDescent="0.2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row>
    <row r="990" spans="1:30" x14ac:dyDescent="0.2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row>
    <row r="991" spans="1:30" x14ac:dyDescent="0.2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row>
    <row r="992" spans="1:30" x14ac:dyDescent="0.2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row>
    <row r="993" spans="1:30" x14ac:dyDescent="0.2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row>
    <row r="994" spans="1:30" x14ac:dyDescent="0.2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row>
    <row r="995" spans="1:30" x14ac:dyDescent="0.2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row>
    <row r="996" spans="1:30" x14ac:dyDescent="0.2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row>
    <row r="997" spans="1:30" x14ac:dyDescent="0.2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row>
    <row r="998" spans="1:30" x14ac:dyDescent="0.2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row>
    <row r="999" spans="1:30" x14ac:dyDescent="0.25">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row>
    <row r="1000" spans="1:30" x14ac:dyDescent="0.2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row>
  </sheetData>
  <hyperlinks>
    <hyperlink ref="J2" r:id="rId1" display="https://industry.panasonic.com/global/en/products/control/switch/light-touch/number/evqpuj02k" xr:uid="{00000000-0004-0000-0100-000000000000}"/>
    <hyperlink ref="A3" r:id="rId2" xr:uid="{00000000-0004-0000-0100-000001000000}"/>
    <hyperlink ref="J3" r:id="rId3" display="https://componentsearchengine.com/part-view/CC0402MRX5R5BB106/YAGEO" xr:uid="{00000000-0004-0000-0100-000002000000}"/>
    <hyperlink ref="L3" r:id="rId4" display="http://datasheets.avx.com/schottky.pdf" xr:uid="{00000000-0004-0000-0100-000003000000}"/>
    <hyperlink ref="W3" r:id="rId5" display="https://www.mouser.co.uk/ProductDetail/ROHM-Semiconductor/BD5229G-TR?qs=4kLU8WoGk0vvnhrrYwdszw%3D%3D" xr:uid="{00000000-0004-0000-0100-000004000000}"/>
    <hyperlink ref="A4" r:id="rId6" xr:uid="{00000000-0004-0000-0100-000005000000}"/>
    <hyperlink ref="K4" r:id="rId7" xr:uid="{00000000-0004-0000-0100-000006000000}"/>
    <hyperlink ref="L4" r:id="rId8" display="https://www.mouser.co.uk/ProductDetail/EPCOS-TDK/B72520T0350K062?qs=dEfas%2FXlABIszF52uu7vrg%3D%3D" xr:uid="{00000000-0004-0000-0100-000007000000}"/>
    <hyperlink ref="W4" r:id="rId9" display="https://www.mouser.co.uk/ProductDetail/Torex-Semiconductor/XC6220A331MR-G?qs=AsjdqWjXhJ8ZSWznL1J0gg%3D%3D" xr:uid="{00000000-0004-0000-0100-000008000000}"/>
    <hyperlink ref="W5" r:id="rId10" display="https://www.mouser.co.uk/ProductDetail/Hirose-Connector/FH34SRJ-24S-0.5SH99?qs=vcbW%252B4%252BSTIpKBl5ap9J8Fw%3D%3D" xr:uid="{00000000-0004-0000-0100-000009000000}"/>
    <hyperlink ref="AC5" r:id="rId11" xr:uid="{00000000-0004-0000-0100-00000A000000}"/>
    <hyperlink ref="J6" r:id="rId12" display="https://www.snapeda.com/parts/CPH3225A/Seiko+Instruments/view-part/?ref=eda" xr:uid="{00000000-0004-0000-0100-00000B000000}"/>
    <hyperlink ref="W6" r:id="rId13" display="https://www.mouser.co.uk/ProductDetail/GCT/USB4110-GF-A?qs=KUoIvG%2F9IlYiZvIXQjyJeA%3D%3D" xr:uid="{00000000-0004-0000-0100-00000C000000}"/>
    <hyperlink ref="J8" r:id="rId14" display="https://www.snapeda.com/parts/USBLC6-2SC6Y/STMicroelectronics/view-part/?ref=eda" xr:uid="{00000000-0004-0000-0100-00000D000000}"/>
    <hyperlink ref="J9" r:id="rId15" display="https://eu.mouser.com/ProductDetail/KYOCERA-AVX/SD0805S020S1R0?qs=jCA%252BPfw4LHbpkAoSnwrdjw%3D%3D" xr:uid="{00000000-0004-0000-0100-00000E000000}"/>
    <hyperlink ref="J10" r:id="rId16" display="https://www.snapeda.com/parts/MBR0530/Onsemi/view-part/?ref=eda" xr:uid="{00000000-0004-0000-0100-00000F000000}"/>
    <hyperlink ref="J11" r:id="rId17" display="https://www.snapeda.com/parts/PGB1010603MR/Littelfuse/view-part/?ref=eda" xr:uid="{00000000-0004-0000-0100-000010000000}"/>
    <hyperlink ref="J12" r:id="rId18" display="https://componentsearchengine.com/part-view/BD5229G-TR/ROHM Semiconductor" xr:uid="{00000000-0004-0000-0100-000011000000}"/>
    <hyperlink ref="J13" r:id="rId19" display="https://componentsearchengine.com/part-view/XC6220A331MR-G/Torex" xr:uid="{00000000-0004-0000-0100-000012000000}"/>
    <hyperlink ref="J14" r:id="rId20" display="https://componentsearchengine.com/part-view/USB4110-GF-A/GCT (GLOBAL CONNECTOR TECHNOLOGY)" xr:uid="{00000000-0004-0000-0100-000013000000}"/>
    <hyperlink ref="J15" r:id="rId21" display="https://eu.mouser.com/ProductDetail/Adafruit/4208?qs=PzGy0jfpSMtbScLbr0L5dw%3D%3D" xr:uid="{00000000-0004-0000-0100-000014000000}"/>
    <hyperlink ref="J16" r:id="rId22" display="https://store.comet.srl.ro/Catalogue/Product/43497/" xr:uid="{00000000-0004-0000-0100-000015000000}"/>
    <hyperlink ref="J17" r:id="rId23" display="https://eu.mouser.com/ProductDetail/Wurth-Elektronik/744043680?qs=PGXP4M47uW6VkZq%252BkzjrHA%3D%3D" xr:uid="{00000000-0004-0000-0100-000016000000}"/>
    <hyperlink ref="J18" r:id="rId24" display="https://www.mouser.co.uk/ProductDetail/EPCOS-TDK/B72520T0350K062?qs=dEfas%2FXlABIszF52uu7vrg%3D%3D" xr:uid="{00000000-0004-0000-0100-000017000000}"/>
    <hyperlink ref="J19" r:id="rId25" display="https://componentsearchengine.com/part-view/DMG2305UX-7/Diodes Incorporated" xr:uid="{00000000-0004-0000-0100-000018000000}"/>
    <hyperlink ref="J20" r:id="rId26" display="https://componentsearchengine.com/part-view/SI1308EDL-T1-GE3/Vishay" xr:uid="{00000000-0004-0000-0100-000019000000}"/>
    <hyperlink ref="J21" r:id="rId27" display="https://componentsearchengine.com/part-view/R0402 1%25 100 K (RC0402FR-07100KL)/YAGEO" xr:uid="{00000000-0004-0000-0100-00001A000000}"/>
    <hyperlink ref="J22" r:id="rId28" display="https://www.snapeda.com/parts/BME680/Bosch/view-part/?welcome=home" xr:uid="{00000000-0004-0000-0100-00001B000000}"/>
    <hyperlink ref="J25" r:id="rId29" display="https://www.snapeda.com/parts/W25Q512JVEIQ/Winbond+Electronics/view-part/?ref=eda" xr:uid="{00000000-0004-0000-0100-00001C000000}"/>
    <hyperlink ref="J26" r:id="rId30" display="https://www.snapeda.com/parts/ESP32-C6-WROOM-1-N8/Espressif+Systems/view-part/?ref=eda" xr:uid="{00000000-0004-0000-0100-00001D000000}"/>
    <hyperlink ref="J27" r:id="rId31" display="https://www.snapeda.com/parts/DS3231SN%23/Analog+Devices/view-part/?ref=eda" xr:uid="{00000000-0004-0000-0100-00001E000000}"/>
    <hyperlink ref="J28" r:id="rId32" display="https://www.snapeda.com/parts/MAX17048G+T10/Analog+Devices/view-part/?ref=eda" xr:uid="{00000000-0004-0000-0100-00001F000000}"/>
    <hyperlink ref="J29" r:id="rId33" display="https://eu.mouser.com/ProductDetail/Microchip-Technology/MCP73831T-2ACI-OT?qs=yUQqVecv4qvbBQBGbHx0Mw%3D%3Dcf" xr:uid="{00000000-0004-0000-0100-00002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64"/>
  <sheetViews>
    <sheetView workbookViewId="0"/>
  </sheetViews>
  <sheetFormatPr defaultColWidth="12.6640625" defaultRowHeight="15.75" customHeight="1" x14ac:dyDescent="0.25"/>
  <cols>
    <col min="1" max="1" width="27.6640625" customWidth="1"/>
  </cols>
  <sheetData>
    <row r="1" spans="1:8" x14ac:dyDescent="0.25">
      <c r="A1" s="1" t="s">
        <v>41</v>
      </c>
      <c r="B1" s="1" t="str">
        <f>BOM_OpenBook!B1</f>
        <v>Value</v>
      </c>
      <c r="C1" s="1" t="str">
        <f>BOM_OpenBook!C1</f>
        <v>Device</v>
      </c>
      <c r="D1" s="1" t="s">
        <v>368</v>
      </c>
      <c r="E1" s="12" t="s">
        <v>369</v>
      </c>
      <c r="F1" s="12" t="s">
        <v>370</v>
      </c>
      <c r="G1" s="12" t="s">
        <v>371</v>
      </c>
      <c r="H1" s="17" t="s">
        <v>372</v>
      </c>
    </row>
    <row r="2" spans="1:8" x14ac:dyDescent="0.25">
      <c r="A2" s="1" t="str">
        <f>BOM_OpenBook!A2</f>
        <v>BOOT_BUTTON</v>
      </c>
      <c r="B2" s="1" t="str">
        <f>BOM_OpenBook!B2</f>
        <v>BUTTON_CUSYOMV1</v>
      </c>
      <c r="C2" s="1" t="str">
        <f>BOM_OpenBook!C2</f>
        <v>BUTTON_CUSYOMV1</v>
      </c>
      <c r="D2" s="18" t="str">
        <f ca="1">IFERROR(__xludf.DUMMYFUNCTION("REGEXEXTRACT(BOM_OpenBook!J2, ""(https?://[^\s)]+)"")"),"https://industry.panasonic.com/global/en/products/control/switch/light-touch/number/evqpuj02k")</f>
        <v>https://industry.panasonic.com/global/en/products/control/switch/light-touch/number/evqpuj02k</v>
      </c>
      <c r="E2" s="1" t="str">
        <f ca="1">IFERROR(__xludf.DUMMYFUNCTION("REGEXEXTRACT(BOM_OpenBook!L2, ""(https?://[^\s)]+)"")"),"#N/A")</f>
        <v>#N/A</v>
      </c>
      <c r="F2" s="1" t="str">
        <f ca="1">IFERROR(__xludf.DUMMYFUNCTION("REGEXEXTRACT(BOM_OpenBook!AH2, ""(https?://[^\s)]+)"")"),"#N/A")</f>
        <v>#N/A</v>
      </c>
      <c r="G2" s="1" t="str">
        <f ca="1">IFERROR(__xludf.DUMMYFUNCTION("REGEXEXTRACT(BOM_OpenBook!AJ2, ""(https?://[^\s)]+)"")"),"#N/A")</f>
        <v>#N/A</v>
      </c>
    </row>
    <row r="3" spans="1:8" x14ac:dyDescent="0.25">
      <c r="A3" s="1" t="str">
        <f>BOM_OpenBook!A3</f>
        <v>C1</v>
      </c>
      <c r="B3" s="1" t="str">
        <f>BOM_OpenBook!B3</f>
        <v>100nF</v>
      </c>
      <c r="C3" s="1" t="str">
        <f>BOM_OpenBook!C3</f>
        <v>ESP32_WROVER_EAGLE-LTSPICE_CC0402</v>
      </c>
      <c r="D3" s="18" t="str">
        <f ca="1">IFERROR(__xludf.DUMMYFUNCTION("REGEXEXTRACT(BOM_OpenBook!J3, ""(https?://[^\s)]+)"")"),"https://componentsearchengine.com/part-view/CC0402MRX5R5BB106/YAGEO")</f>
        <v>https://componentsearchengine.com/part-view/CC0402MRX5R5BB106/YAGEO</v>
      </c>
      <c r="E3" s="1" t="str">
        <f ca="1">IFERROR(__xludf.DUMMYFUNCTION("REGEXEXTRACT(BOM_OpenBook!L3, ""(https?://[^\s)]+)"")"),"#N/A")</f>
        <v>#N/A</v>
      </c>
      <c r="F3" s="1" t="str">
        <f ca="1">IFERROR(__xludf.DUMMYFUNCTION("REGEXEXTRACT(BOM_OpenBook!AH3, ""(https?://[^\s)]+)"")"),"#N/A")</f>
        <v>#N/A</v>
      </c>
      <c r="G3" s="1" t="str">
        <f ca="1">IFERROR(__xludf.DUMMYFUNCTION("REGEXEXTRACT(BOM_OpenBook!AJ3, ""(https?://[^\s)]+)"")"),"#N/A")</f>
        <v>#N/A</v>
      </c>
    </row>
    <row r="4" spans="1:8" x14ac:dyDescent="0.25">
      <c r="A4" s="1" t="str">
        <f>BOM_OpenBook!A4</f>
        <v>C1_BAT</v>
      </c>
      <c r="B4" s="1" t="str">
        <f>BOM_OpenBook!B4</f>
        <v>4.7uF</v>
      </c>
      <c r="C4" s="1" t="str">
        <f>BOM_OpenBook!C4</f>
        <v>ESP32_WROVER_EAGLE-LTSPICE_CC0402</v>
      </c>
      <c r="D4" s="1" t="str">
        <f ca="1">IFERROR(__xludf.DUMMYFUNCTION("REGEXEXTRACT(BOM_OpenBook!J4, ""(https?://[^\s)]+)"")"),"#N/A")</f>
        <v>#N/A</v>
      </c>
      <c r="E4" s="1" t="str">
        <f ca="1">IFERROR(__xludf.DUMMYFUNCTION("REGEXEXTRACT(BOM_OpenBook!L4, ""(https?://[^\s)]+)"")"),"#N/A")</f>
        <v>#N/A</v>
      </c>
      <c r="F4" s="1" t="str">
        <f ca="1">IFERROR(__xludf.DUMMYFUNCTION("REGEXEXTRACT(BOM_OpenBook!AH4, ""(https?://[^\s)]+)"")"),"#N/A")</f>
        <v>#N/A</v>
      </c>
      <c r="G4" s="1" t="str">
        <f ca="1">IFERROR(__xludf.DUMMYFUNCTION("REGEXEXTRACT(BOM_OpenBook!AJ4, ""(https?://[^\s)]+)"")"),"#N/A")</f>
        <v>#N/A</v>
      </c>
    </row>
    <row r="5" spans="1:8" x14ac:dyDescent="0.25">
      <c r="A5" s="1" t="str">
        <f>BOM_OpenBook!A5</f>
        <v>C1_BAT1</v>
      </c>
      <c r="B5" s="1" t="str">
        <f>BOM_OpenBook!B5</f>
        <v>4.7uF</v>
      </c>
      <c r="C5" s="1" t="str">
        <f>BOM_OpenBook!C5</f>
        <v>EAGLE-LTSPICE_CC0402</v>
      </c>
      <c r="D5" s="1" t="str">
        <f ca="1">IFERROR(__xludf.DUMMYFUNCTION("REGEXEXTRACT(BOM_OpenBook!J5, ""(https?://[^\s)]+)"")"),"#N/A")</f>
        <v>#N/A</v>
      </c>
      <c r="E5" s="1" t="str">
        <f ca="1">IFERROR(__xludf.DUMMYFUNCTION("REGEXEXTRACT(BOM_OpenBook!L5, ""(https?://[^\s)]+)"")"),"#N/A")</f>
        <v>#N/A</v>
      </c>
      <c r="F5" s="1" t="str">
        <f ca="1">IFERROR(__xludf.DUMMYFUNCTION("REGEXEXTRACT(BOM_OpenBook!AH5, ""(https?://[^\s)]+)"")"),"#N/A")</f>
        <v>#N/A</v>
      </c>
      <c r="G5" s="1" t="str">
        <f ca="1">IFERROR(__xludf.DUMMYFUNCTION("REGEXEXTRACT(BOM_OpenBook!AJ5, ""(https?://[^\s)]+)"")"),"#N/A")</f>
        <v>#N/A</v>
      </c>
    </row>
    <row r="6" spans="1:8" x14ac:dyDescent="0.25">
      <c r="A6" s="1" t="str">
        <f>BOM_OpenBook!A6</f>
        <v>C1_BAT2</v>
      </c>
      <c r="B6" s="1" t="str">
        <f>BOM_OpenBook!B6</f>
        <v>4.7uF</v>
      </c>
      <c r="C6" s="1" t="str">
        <f>BOM_OpenBook!C6</f>
        <v>EAGLE-LTSPICE_CC0402</v>
      </c>
      <c r="D6" s="1" t="str">
        <f ca="1">IFERROR(__xludf.DUMMYFUNCTION("REGEXEXTRACT(BOM_OpenBook!J6, ""(https?://[^\s)]+)"")"),"#N/A")</f>
        <v>#N/A</v>
      </c>
      <c r="E6" s="1" t="str">
        <f ca="1">IFERROR(__xludf.DUMMYFUNCTION("REGEXEXTRACT(BOM_OpenBook!L6, ""(https?://[^\s)]+)"")"),"#N/A")</f>
        <v>#N/A</v>
      </c>
      <c r="F6" s="1" t="str">
        <f ca="1">IFERROR(__xludf.DUMMYFUNCTION("REGEXEXTRACT(BOM_OpenBook!AH6, ""(https?://[^\s)]+)"")"),"#N/A")</f>
        <v>#N/A</v>
      </c>
      <c r="G6" s="1" t="str">
        <f ca="1">IFERROR(__xludf.DUMMYFUNCTION("REGEXEXTRACT(BOM_OpenBook!AJ6, ""(https?://[^\s)]+)"")"),"#N/A")</f>
        <v>#N/A</v>
      </c>
    </row>
    <row r="7" spans="1:8" x14ac:dyDescent="0.25">
      <c r="A7" s="1" t="str">
        <f>BOM_OpenBook!A7</f>
        <v>C2</v>
      </c>
      <c r="B7" s="1" t="str">
        <f>BOM_OpenBook!B7</f>
        <v>100nF</v>
      </c>
      <c r="C7" s="1" t="str">
        <f>BOM_OpenBook!C7</f>
        <v>ESP32_WROVER_EAGLE-LTSPICE_CC0402</v>
      </c>
      <c r="D7" s="1" t="str">
        <f ca="1">IFERROR(__xludf.DUMMYFUNCTION("REGEXEXTRACT(BOM_OpenBook!J7, ""(https?://[^\s)]+)"")"),"#N/A")</f>
        <v>#N/A</v>
      </c>
      <c r="E7" s="1" t="str">
        <f ca="1">IFERROR(__xludf.DUMMYFUNCTION("REGEXEXTRACT(BOM_OpenBook!L7, ""(https?://[^\s)]+)"")"),"#N/A")</f>
        <v>#N/A</v>
      </c>
      <c r="F7" s="1" t="str">
        <f ca="1">IFERROR(__xludf.DUMMYFUNCTION("REGEXEXTRACT(BOM_OpenBook!AH7, ""(https?://[^\s)]+)"")"),"#N/A")</f>
        <v>#N/A</v>
      </c>
      <c r="G7" s="1" t="str">
        <f ca="1">IFERROR(__xludf.DUMMYFUNCTION("REGEXEXTRACT(BOM_OpenBook!AJ7, ""(https?://[^\s)]+)"")"),"#N/A")</f>
        <v>#N/A</v>
      </c>
    </row>
    <row r="8" spans="1:8" x14ac:dyDescent="0.25">
      <c r="A8" s="1" t="str">
        <f>BOM_OpenBook!A8</f>
        <v>C2_BAT\</v>
      </c>
      <c r="B8" s="1" t="str">
        <f>BOM_OpenBook!B8</f>
        <v>4.7uF</v>
      </c>
      <c r="C8" s="1" t="str">
        <f>BOM_OpenBook!C8</f>
        <v>ESP32_WROVER_EAGLE-LTSPICE_CC0402</v>
      </c>
      <c r="D8" s="1" t="str">
        <f ca="1">IFERROR(__xludf.DUMMYFUNCTION("REGEXEXTRACT(BOM_OpenBook!J8, ""(https?://[^\s)]+)"")"),"#N/A")</f>
        <v>#N/A</v>
      </c>
      <c r="E8" s="1" t="str">
        <f ca="1">IFERROR(__xludf.DUMMYFUNCTION("REGEXEXTRACT(BOM_OpenBook!L8, ""(https?://[^\s)]+)"")"),"#N/A")</f>
        <v>#N/A</v>
      </c>
      <c r="F8" s="1" t="str">
        <f ca="1">IFERROR(__xludf.DUMMYFUNCTION("REGEXEXTRACT(BOM_OpenBook!AH8, ""(https?://[^\s)]+)"")"),"#N/A")</f>
        <v>#N/A</v>
      </c>
      <c r="G8" s="1" t="str">
        <f ca="1">IFERROR(__xludf.DUMMYFUNCTION("REGEXEXTRACT(BOM_OpenBook!AJ8, ""(https?://[^\s)]+)"")"),"#N/A")</f>
        <v>#N/A</v>
      </c>
    </row>
    <row r="9" spans="1:8" x14ac:dyDescent="0.25">
      <c r="A9" s="1" t="str">
        <f>BOM_OpenBook!A9</f>
        <v>C3</v>
      </c>
      <c r="B9" s="1" t="str">
        <f>BOM_OpenBook!B9</f>
        <v>100uF TANT</v>
      </c>
      <c r="C9" s="1" t="str">
        <f>BOM_OpenBook!C9</f>
        <v>RCL_CPOL-EUCT3528</v>
      </c>
      <c r="D9" s="1" t="str">
        <f ca="1">IFERROR(__xludf.DUMMYFUNCTION("REGEXEXTRACT(BOM_OpenBook!J9, ""(https?://[^\s)]+)"")"),"#N/A")</f>
        <v>#N/A</v>
      </c>
      <c r="E9" s="1" t="str">
        <f ca="1">IFERROR(__xludf.DUMMYFUNCTION("REGEXEXTRACT(BOM_OpenBook!L9, ""(https?://[^\s)]+)"")"),"#N/A")</f>
        <v>#N/A</v>
      </c>
      <c r="F9" s="1" t="str">
        <f ca="1">IFERROR(__xludf.DUMMYFUNCTION("REGEXEXTRACT(BOM_OpenBook!AH9, ""(https?://[^\s)]+)"")"),"#N/A")</f>
        <v>#N/A</v>
      </c>
      <c r="G9" s="1" t="str">
        <f ca="1">IFERROR(__xludf.DUMMYFUNCTION("REGEXEXTRACT(BOM_OpenBook!AJ9, ""(https?://[^\s)]+)"")"),"#N/A")</f>
        <v>#N/A</v>
      </c>
    </row>
    <row r="10" spans="1:8" x14ac:dyDescent="0.25">
      <c r="A10" s="1" t="str">
        <f>BOM_OpenBook!A10</f>
        <v>C4</v>
      </c>
      <c r="B10" s="1" t="str">
        <f>BOM_OpenBook!B10</f>
        <v>4.7uF/25V</v>
      </c>
      <c r="C10" s="1" t="str">
        <f>BOM_OpenBook!C10</f>
        <v>ESP32_WROVER_EAGLE-LTSPICE_CC0402</v>
      </c>
      <c r="D10" s="1" t="str">
        <f ca="1">IFERROR(__xludf.DUMMYFUNCTION("REGEXEXTRACT(BOM_OpenBook!J10, ""(https?://[^\s)]+)"")"),"#N/A")</f>
        <v>#N/A</v>
      </c>
      <c r="E10" s="1" t="str">
        <f ca="1">IFERROR(__xludf.DUMMYFUNCTION("REGEXEXTRACT(BOM_OpenBook!L10, ""(https?://[^\s)]+)"")"),"#N/A")</f>
        <v>#N/A</v>
      </c>
      <c r="F10" s="1" t="str">
        <f ca="1">IFERROR(__xludf.DUMMYFUNCTION("REGEXEXTRACT(BOM_OpenBook!AH10, ""(https?://[^\s)]+)"")"),"#N/A")</f>
        <v>#N/A</v>
      </c>
      <c r="G10" s="1" t="str">
        <f ca="1">IFERROR(__xludf.DUMMYFUNCTION("REGEXEXTRACT(BOM_OpenBook!AJ10, ""(https?://[^\s)]+)"")"),"#N/A")</f>
        <v>#N/A</v>
      </c>
    </row>
    <row r="11" spans="1:8" x14ac:dyDescent="0.25">
      <c r="A11" s="1" t="str">
        <f>BOM_OpenBook!A11</f>
        <v>C4_USB</v>
      </c>
      <c r="B11" s="1" t="str">
        <f>BOM_OpenBook!B11</f>
        <v>100nF</v>
      </c>
      <c r="C11" s="1" t="str">
        <f>BOM_OpenBook!C11</f>
        <v>ESP32_WROVER_EAGLE-LTSPICE_CC0402</v>
      </c>
      <c r="D11" s="1" t="str">
        <f ca="1">IFERROR(__xludf.DUMMYFUNCTION("REGEXEXTRACT(BOM_OpenBook!J11, ""(https?://[^\s)]+)"")"),"#N/A")</f>
        <v>#N/A</v>
      </c>
      <c r="E11" s="1" t="str">
        <f ca="1">IFERROR(__xludf.DUMMYFUNCTION("REGEXEXTRACT(BOM_OpenBook!L11, ""(https?://[^\s)]+)"")"),"#N/A")</f>
        <v>#N/A</v>
      </c>
      <c r="F11" s="1" t="str">
        <f ca="1">IFERROR(__xludf.DUMMYFUNCTION("REGEXEXTRACT(BOM_OpenBook!AH11, ""(https?://[^\s)]+)"")"),"#N/A")</f>
        <v>#N/A</v>
      </c>
      <c r="G11" s="1" t="str">
        <f ca="1">IFERROR(__xludf.DUMMYFUNCTION("REGEXEXTRACT(BOM_OpenBook!AJ11, ""(https?://[^\s)]+)"")"),"#N/A")</f>
        <v>#N/A</v>
      </c>
    </row>
    <row r="12" spans="1:8" x14ac:dyDescent="0.25">
      <c r="A12" s="1" t="str">
        <f>BOM_OpenBook!A12</f>
        <v>C5</v>
      </c>
      <c r="B12" s="1" t="str">
        <f>BOM_OpenBook!B12</f>
        <v>1uF</v>
      </c>
      <c r="C12" s="1" t="str">
        <f>BOM_OpenBook!C12</f>
        <v>ESP32_WROVER_EAGLE-LTSPICE_CC0402</v>
      </c>
      <c r="D12" s="1" t="str">
        <f ca="1">IFERROR(__xludf.DUMMYFUNCTION("REGEXEXTRACT(BOM_OpenBook!J12, ""(https?://[^\s)]+)"")"),"#N/A")</f>
        <v>#N/A</v>
      </c>
      <c r="E12" s="1" t="str">
        <f ca="1">IFERROR(__xludf.DUMMYFUNCTION("REGEXEXTRACT(BOM_OpenBook!L12, ""(https?://[^\s)]+)"")"),"#N/A")</f>
        <v>#N/A</v>
      </c>
      <c r="F12" s="1" t="str">
        <f ca="1">IFERROR(__xludf.DUMMYFUNCTION("REGEXEXTRACT(BOM_OpenBook!AH12, ""(https?://[^\s)]+)"")"),"#N/A")</f>
        <v>#N/A</v>
      </c>
      <c r="G12" s="1" t="str">
        <f ca="1">IFERROR(__xludf.DUMMYFUNCTION("REGEXEXTRACT(BOM_OpenBook!AJ12, ""(https?://[^\s)]+)"")"),"#N/A")</f>
        <v>#N/A</v>
      </c>
    </row>
    <row r="13" spans="1:8" x14ac:dyDescent="0.25">
      <c r="A13" s="1" t="str">
        <f>BOM_OpenBook!A13</f>
        <v>C5_USB</v>
      </c>
      <c r="B13" s="1" t="str">
        <f>BOM_OpenBook!B13</f>
        <v>4.7湩</v>
      </c>
      <c r="C13" s="1" t="str">
        <f>BOM_OpenBook!C13</f>
        <v>ESP32_WROVER_EAGLE-LTSPICE_CC0402</v>
      </c>
      <c r="D13" s="1" t="str">
        <f ca="1">IFERROR(__xludf.DUMMYFUNCTION("REGEXEXTRACT(BOM_OpenBook!J13, ""(https?://[^\s)]+)"")"),"#N/A")</f>
        <v>#N/A</v>
      </c>
      <c r="E13" s="1" t="str">
        <f ca="1">IFERROR(__xludf.DUMMYFUNCTION("REGEXEXTRACT(BOM_OpenBook!L13, ""(https?://[^\s)]+)"")"),"#N/A")</f>
        <v>#N/A</v>
      </c>
      <c r="F13" s="1" t="str">
        <f ca="1">IFERROR(__xludf.DUMMYFUNCTION("REGEXEXTRACT(BOM_OpenBook!AH13, ""(https?://[^\s)]+)"")"),"#N/A")</f>
        <v>#N/A</v>
      </c>
      <c r="G13" s="1" t="str">
        <f ca="1">IFERROR(__xludf.DUMMYFUNCTION("REGEXEXTRACT(BOM_OpenBook!AJ13, ""(https?://[^\s)]+)"")"),"#N/A")</f>
        <v>#N/A</v>
      </c>
    </row>
    <row r="14" spans="1:8" x14ac:dyDescent="0.25">
      <c r="A14" s="1" t="str">
        <f>BOM_OpenBook!A14</f>
        <v>C6</v>
      </c>
      <c r="B14" s="1" t="str">
        <f>BOM_OpenBook!B14</f>
        <v>100nF</v>
      </c>
      <c r="C14" s="1" t="str">
        <f>BOM_OpenBook!C14</f>
        <v>ESP32_WROVER_EAGLE-LTSPICE_CC0402</v>
      </c>
      <c r="D14" s="1" t="str">
        <f ca="1">IFERROR(__xludf.DUMMYFUNCTION("REGEXEXTRACT(BOM_OpenBook!J14, ""(https?://[^\s)]+)"")"),"#N/A")</f>
        <v>#N/A</v>
      </c>
      <c r="E14" s="1" t="str">
        <f ca="1">IFERROR(__xludf.DUMMYFUNCTION("REGEXEXTRACT(BOM_OpenBook!L14, ""(https?://[^\s)]+)"")"),"#N/A")</f>
        <v>#N/A</v>
      </c>
      <c r="F14" s="1" t="str">
        <f ca="1">IFERROR(__xludf.DUMMYFUNCTION("REGEXEXTRACT(BOM_OpenBook!AH14, ""(https?://[^\s)]+)"")"),"#N/A")</f>
        <v>#N/A</v>
      </c>
      <c r="G14" s="1" t="str">
        <f ca="1">IFERROR(__xludf.DUMMYFUNCTION("REGEXEXTRACT(BOM_OpenBook!AJ14, ""(https?://[^\s)]+)"")"),"#N/A")</f>
        <v>#N/A</v>
      </c>
    </row>
    <row r="15" spans="1:8" x14ac:dyDescent="0.25">
      <c r="A15" s="1" t="str">
        <f>BOM_OpenBook!A15</f>
        <v>C7</v>
      </c>
      <c r="B15" s="1" t="str">
        <f>BOM_OpenBook!B15</f>
        <v>10uF</v>
      </c>
      <c r="C15" s="1" t="str">
        <f>BOM_OpenBook!C15</f>
        <v>ESP32_WROVER_EAGLE-LTSPICE_CC0402</v>
      </c>
      <c r="D15" s="1" t="str">
        <f ca="1">IFERROR(__xludf.DUMMYFUNCTION("REGEXEXTRACT(BOM_OpenBook!J15, ""(https?://[^\s)]+)"")"),"#N/A")</f>
        <v>#N/A</v>
      </c>
      <c r="E15" s="1" t="str">
        <f ca="1">IFERROR(__xludf.DUMMYFUNCTION("REGEXEXTRACT(BOM_OpenBook!L15, ""(https?://[^\s)]+)"")"),"#N/A")</f>
        <v>#N/A</v>
      </c>
      <c r="F15" s="1" t="str">
        <f ca="1">IFERROR(__xludf.DUMMYFUNCTION("REGEXEXTRACT(BOM_OpenBook!AH15, ""(https?://[^\s)]+)"")"),"#N/A")</f>
        <v>#N/A</v>
      </c>
      <c r="G15" s="1" t="str">
        <f ca="1">IFERROR(__xludf.DUMMYFUNCTION("REGEXEXTRACT(BOM_OpenBook!AJ15, ""(https?://[^\s)]+)"")"),"#N/A")</f>
        <v>#N/A</v>
      </c>
    </row>
    <row r="16" spans="1:8" x14ac:dyDescent="0.25">
      <c r="A16" s="1" t="str">
        <f>BOM_OpenBook!A16</f>
        <v>C8</v>
      </c>
      <c r="B16" s="1" t="str">
        <f>BOM_OpenBook!B16</f>
        <v>100nF</v>
      </c>
      <c r="C16" s="1" t="str">
        <f>BOM_OpenBook!C16</f>
        <v>ESP32_WROVER_EAGLE-LTSPICE_CC0402</v>
      </c>
      <c r="D16" s="1" t="str">
        <f ca="1">IFERROR(__xludf.DUMMYFUNCTION("REGEXEXTRACT(BOM_OpenBook!J16, ""(https?://[^\s)]+)"")"),"#N/A")</f>
        <v>#N/A</v>
      </c>
      <c r="E16" s="1" t="str">
        <f ca="1">IFERROR(__xludf.DUMMYFUNCTION("REGEXEXTRACT(BOM_OpenBook!L16, ""(https?://[^\s)]+)"")"),"#N/A")</f>
        <v>#N/A</v>
      </c>
      <c r="F16" s="1" t="str">
        <f ca="1">IFERROR(__xludf.DUMMYFUNCTION("REGEXEXTRACT(BOM_OpenBook!AH16, ""(https?://[^\s)]+)"")"),"#N/A")</f>
        <v>#N/A</v>
      </c>
      <c r="G16" s="1" t="str">
        <f ca="1">IFERROR(__xludf.DUMMYFUNCTION("REGEXEXTRACT(BOM_OpenBook!AJ16, ""(https?://[^\s)]+)"")"),"#N/A")</f>
        <v>#N/A</v>
      </c>
    </row>
    <row r="17" spans="1:8" x14ac:dyDescent="0.25">
      <c r="A17" s="1" t="str">
        <f>BOM_OpenBook!A17</f>
        <v>C9</v>
      </c>
      <c r="B17" s="1" t="str">
        <f>BOM_OpenBook!B17</f>
        <v>100nF</v>
      </c>
      <c r="C17" s="1" t="str">
        <f>BOM_OpenBook!C17</f>
        <v>EAGLE-LTSPICE_CC0402</v>
      </c>
      <c r="D17" s="1" t="str">
        <f ca="1">IFERROR(__xludf.DUMMYFUNCTION("REGEXEXTRACT(BOM_OpenBook!J17, ""(https?://[^\s)]+)"")"),"#N/A")</f>
        <v>#N/A</v>
      </c>
      <c r="E17" s="1" t="str">
        <f ca="1">IFERROR(__xludf.DUMMYFUNCTION("REGEXEXTRACT(BOM_OpenBook!L17, ""(https?://[^\s)]+)"")"),"#N/A")</f>
        <v>#N/A</v>
      </c>
      <c r="F17" s="1" t="str">
        <f ca="1">IFERROR(__xludf.DUMMYFUNCTION("REGEXEXTRACT(BOM_OpenBook!AH17, ""(https?://[^\s)]+)"")"),"#N/A")</f>
        <v>#N/A</v>
      </c>
      <c r="G17" s="1" t="str">
        <f ca="1">IFERROR(__xludf.DUMMYFUNCTION("REGEXEXTRACT(BOM_OpenBook!AJ17, ""(https?://[^\s)]+)"")"),"#N/A")</f>
        <v>#N/A</v>
      </c>
    </row>
    <row r="18" spans="1:8" x14ac:dyDescent="0.25">
      <c r="A18" s="1" t="str">
        <f>BOM_OpenBook!A18</f>
        <v>C10</v>
      </c>
      <c r="B18" s="1" t="str">
        <f>BOM_OpenBook!B18</f>
        <v>100nF</v>
      </c>
      <c r="C18" s="1" t="str">
        <f>BOM_OpenBook!C18</f>
        <v>ESP32_WROVER_EAGLE-LTSPICE_CC0402</v>
      </c>
      <c r="D18" s="1" t="str">
        <f ca="1">IFERROR(__xludf.DUMMYFUNCTION("REGEXEXTRACT(BOM_OpenBook!J18, ""(https?://[^\s)]+)"")"),"#N/A")</f>
        <v>#N/A</v>
      </c>
      <c r="E18" s="1" t="str">
        <f ca="1">IFERROR(__xludf.DUMMYFUNCTION("REGEXEXTRACT(BOM_OpenBook!L18, ""(https?://[^\s)]+)"")"),"#N/A")</f>
        <v>#N/A</v>
      </c>
      <c r="F18" s="1" t="str">
        <f ca="1">IFERROR(__xludf.DUMMYFUNCTION("REGEXEXTRACT(BOM_OpenBook!AH18, ""(https?://[^\s)]+)"")"),"#N/A")</f>
        <v>#N/A</v>
      </c>
      <c r="G18" s="1" t="str">
        <f ca="1">IFERROR(__xludf.DUMMYFUNCTION("REGEXEXTRACT(BOM_OpenBook!AJ18, ""(https?://[^\s)]+)"")"),"#N/A")</f>
        <v>#N/A</v>
      </c>
    </row>
    <row r="19" spans="1:8" x14ac:dyDescent="0.25">
      <c r="A19" s="1" t="str">
        <f>BOM_OpenBook!A19</f>
        <v>C10_SUPERCAP</v>
      </c>
      <c r="B19" s="1" t="str">
        <f>BOM_OpenBook!B19</f>
        <v>CPH3225A</v>
      </c>
      <c r="C19" s="1" t="str">
        <f>BOM_OpenBook!C19</f>
        <v>CPH3225A</v>
      </c>
      <c r="D19" s="18" t="str">
        <f ca="1">IFERROR(__xludf.DUMMYFUNCTION("REGEXEXTRACT(BOM_OpenBook!J19, ""(https?://[^\s)]+)"")"),"https://www.snapeda.com/parts/CPH3225A/Seiko+Instruments/view-part/?ref=eda")</f>
        <v>https://www.snapeda.com/parts/CPH3225A/Seiko+Instruments/view-part/?ref=eda</v>
      </c>
      <c r="E19" s="1" t="str">
        <f ca="1">IFERROR(__xludf.DUMMYFUNCTION("REGEXEXTRACT(BOM_OpenBook!L19, ""(https?://[^\s)]+)"")"),"#N/A")</f>
        <v>#N/A</v>
      </c>
      <c r="F19" s="18" t="str">
        <f ca="1">IFERROR(__xludf.DUMMYFUNCTION("REGEXEXTRACT(BOM_OpenBook!AH19, ""(https?://[^\s)]+)"")"),"https://www.snapeda.com/api/url_track_click_mouser/?unipart_id=562593&amp;manufacturer=Seiko")</f>
        <v>https://www.snapeda.com/api/url_track_click_mouser/?unipart_id=562593&amp;manufacturer=Seiko</v>
      </c>
      <c r="G19" s="18" t="str">
        <f ca="1">IFERROR(__xludf.DUMMYFUNCTION("REGEXEXTRACT(BOM_OpenBook!AJ19, ""(https?://[^\s)]+)"")"),"https://www.snapeda.com/parts/CPH3225A/Seiko+Instruments/view-part/?ref=snap")</f>
        <v>https://www.snapeda.com/parts/CPH3225A/Seiko+Instruments/view-part/?ref=snap</v>
      </c>
      <c r="H19" s="17" t="s">
        <v>373</v>
      </c>
    </row>
    <row r="20" spans="1:8" x14ac:dyDescent="0.25">
      <c r="A20" s="1" t="str">
        <f>BOM_OpenBook!A20</f>
        <v>CHANGE_BUTTON</v>
      </c>
      <c r="B20" s="1" t="str">
        <f>BOM_OpenBook!B20</f>
        <v>BUTTON_CUSYOMV1</v>
      </c>
      <c r="C20" s="1" t="str">
        <f>BOM_OpenBook!C20</f>
        <v>BUTTON_CUSYOMV1</v>
      </c>
      <c r="D20" s="18" t="str">
        <f ca="1">IFERROR(__xludf.DUMMYFUNCTION("REGEXEXTRACT(BOM_OpenBook!J20, ""(https?://[^\s)]+)"")"),"https://industry.panasonic.com/global/en/products/control/switch/light-touch/number/evqpuj02k")</f>
        <v>https://industry.panasonic.com/global/en/products/control/switch/light-touch/number/evqpuj02k</v>
      </c>
      <c r="E20" s="1" t="str">
        <f ca="1">IFERROR(__xludf.DUMMYFUNCTION("REGEXEXTRACT(BOM_OpenBook!L20, ""(https?://[^\s)]+)"")"),"#N/A")</f>
        <v>#N/A</v>
      </c>
      <c r="F20" s="1" t="str">
        <f ca="1">IFERROR(__xludf.DUMMYFUNCTION("REGEXEXTRACT(BOM_OpenBook!AH20, ""(https?://[^\s)]+)"")"),"#N/A")</f>
        <v>#N/A</v>
      </c>
      <c r="G20" s="1" t="str">
        <f ca="1">IFERROR(__xludf.DUMMYFUNCTION("REGEXEXTRACT(BOM_OpenBook!AJ20, ""(https?://[^\s)]+)"")"),"#N/A")</f>
        <v>#N/A</v>
      </c>
    </row>
    <row r="21" spans="1:8" x14ac:dyDescent="0.25">
      <c r="A21" s="1" t="str">
        <f>BOM_OpenBook!A21</f>
        <v>CHG_LED</v>
      </c>
      <c r="B21" s="1">
        <f>BOM_OpenBook!B21</f>
        <v>0</v>
      </c>
      <c r="C21" s="1" t="str">
        <f>BOM_OpenBook!C21</f>
        <v>ADAFRUIT_LEDCHIP-LED0603</v>
      </c>
      <c r="D21" s="18" t="str">
        <f ca="1">IFERROR(__xludf.DUMMYFUNCTION("REGEXEXTRACT(BOM_OpenBook!J21, ""(https?://[^\s)]+)"")"),"https://www.snapeda.com/parts/KP-1608SURCK/Kingbright/view-part/?ref=search&amp;t=LED%200603")</f>
        <v>https://www.snapeda.com/parts/KP-1608SURCK/Kingbright/view-part/?ref=search&amp;t=LED%200603</v>
      </c>
      <c r="E21" s="1" t="str">
        <f ca="1">IFERROR(__xludf.DUMMYFUNCTION("REGEXEXTRACT(BOM_OpenBook!L21, ""(https?://[^\s)]+)"")"),"#N/A")</f>
        <v>#N/A</v>
      </c>
      <c r="F21" s="1" t="str">
        <f ca="1">IFERROR(__xludf.DUMMYFUNCTION("REGEXEXTRACT(BOM_OpenBook!AH21, ""(https?://[^\s)]+)"")"),"#N/A")</f>
        <v>#N/A</v>
      </c>
      <c r="G21" s="1" t="str">
        <f ca="1">IFERROR(__xludf.DUMMYFUNCTION("REGEXEXTRACT(BOM_OpenBook!AJ21, ""(https?://[^\s)]+)"")"),"#N/A")</f>
        <v>#N/A</v>
      </c>
    </row>
    <row r="22" spans="1:8" x14ac:dyDescent="0.25">
      <c r="A22" s="1" t="str">
        <f>BOM_OpenBook!A22</f>
        <v>C_DELAY</v>
      </c>
      <c r="B22" s="1" t="str">
        <f>BOM_OpenBook!B22</f>
        <v>100nF</v>
      </c>
      <c r="C22" s="1" t="str">
        <f>BOM_OpenBook!C22</f>
        <v>ESP32_WROVER_EAGLE-LTSPICE_CC0402</v>
      </c>
      <c r="D22" s="1" t="str">
        <f ca="1">IFERROR(__xludf.DUMMYFUNCTION("REGEXEXTRACT(BOM_OpenBook!J22, ""(https?://[^\s)]+)"")"),"#N/A")</f>
        <v>#N/A</v>
      </c>
      <c r="E22" s="1" t="str">
        <f ca="1">IFERROR(__xludf.DUMMYFUNCTION("REGEXEXTRACT(BOM_OpenBook!L22, ""(https?://[^\s)]+)"")"),"#N/A")</f>
        <v>#N/A</v>
      </c>
      <c r="F22" s="1" t="str">
        <f ca="1">IFERROR(__xludf.DUMMYFUNCTION("REGEXEXTRACT(BOM_OpenBook!AH22, ""(https?://[^\s)]+)"")"),"#N/A")</f>
        <v>#N/A</v>
      </c>
      <c r="G22" s="1" t="str">
        <f ca="1">IFERROR(__xludf.DUMMYFUNCTION("REGEXEXTRACT(BOM_OpenBook!AJ22, ""(https?://[^\s)]+)"")"),"#N/A")</f>
        <v>#N/A</v>
      </c>
    </row>
    <row r="23" spans="1:8" x14ac:dyDescent="0.25">
      <c r="A23" s="1" t="str">
        <f>BOM_OpenBook!A23</f>
        <v>D1</v>
      </c>
      <c r="B23" s="1" t="str">
        <f>BOM_OpenBook!B23</f>
        <v>USBLC6-2SC6Y</v>
      </c>
      <c r="C23" s="1" t="str">
        <f>BOM_OpenBook!C23</f>
        <v>USBLC6-2SC6Y</v>
      </c>
      <c r="D23" s="18" t="str">
        <f ca="1">IFERROR(__xludf.DUMMYFUNCTION("REGEXEXTRACT(BOM_OpenBook!J23, ""(https?://[^\s)]+)"")"),"https://www.snapeda.com/parts/USBLC6-2SC6Y/STMicroelectronics/view-part/?ref=eda")</f>
        <v>https://www.snapeda.com/parts/USBLC6-2SC6Y/STMicroelectronics/view-part/?ref=eda</v>
      </c>
      <c r="E23" s="1" t="str">
        <f ca="1">IFERROR(__xludf.DUMMYFUNCTION("REGEXEXTRACT(BOM_OpenBook!L23, ""(https?://[^\s)]+)"")"),"#N/A")</f>
        <v>#N/A</v>
      </c>
      <c r="F23" s="1" t="str">
        <f ca="1">IFERROR(__xludf.DUMMYFUNCTION("REGEXEXTRACT(BOM_OpenBook!AH23, ""(https?://[^\s)]+)"")"),"#N/A")</f>
        <v>#N/A</v>
      </c>
      <c r="G23" s="18" t="str">
        <f ca="1">IFERROR(__xludf.DUMMYFUNCTION("REGEXEXTRACT(BOM_OpenBook!AJ23, ""(https?://[^\s)]+)"")"),"https://www.snapeda.com/parts/USBLC6-2SC6Y/STMicroelectronics/view-part/?ref=snap")</f>
        <v>https://www.snapeda.com/parts/USBLC6-2SC6Y/STMicroelectronics/view-part/?ref=snap</v>
      </c>
      <c r="H23" s="17" t="s">
        <v>373</v>
      </c>
    </row>
    <row r="24" spans="1:8" x14ac:dyDescent="0.25">
      <c r="A24" s="1" t="str">
        <f>BOM_OpenBook!A24</f>
        <v>D2</v>
      </c>
      <c r="B24" s="1" t="str">
        <f>BOM_OpenBook!B24</f>
        <v>ESP32_WROVER_AVX---SD0805S020S1R0_AVX_SD0805S020S1R0_0_0AVX_SD0805S020S1R0_0_0</v>
      </c>
      <c r="C24" s="1" t="str">
        <f>BOM_OpenBook!C24</f>
        <v>ESP32_WROVER_AVX---SD0805S020S1R0_AVX_SD0805S020S1R0_0_0AVX_SD0805S020S1R0_0_0</v>
      </c>
      <c r="D24" s="18" t="str">
        <f ca="1">IFERROR(__xludf.DUMMYFUNCTION("REGEXEXTRACT(BOM_OpenBook!J24, ""(https?://[^\s)]+)"")"),"https://eu.mouser.com/ProductDetail/KYOCERA-AVX/SD0805S020S1R0?qs=jCA%252BPfw4LHbpkAoSnwrdjw%3D%3D")</f>
        <v>https://eu.mouser.com/ProductDetail/KYOCERA-AVX/SD0805S020S1R0?qs=jCA%252BPfw4LHbpkAoSnwrdjw%3D%3D</v>
      </c>
      <c r="E24" s="18" t="str">
        <f ca="1">IFERROR(__xludf.DUMMYFUNCTION("REGEXEXTRACT(BOM_OpenBook!L24, ""(https?://[^\s)]+)"")"),"http://datasheets.avx.com/schottky.pdf")</f>
        <v>http://datasheets.avx.com/schottky.pdf</v>
      </c>
      <c r="F24" s="1" t="str">
        <f ca="1">IFERROR(__xludf.DUMMYFUNCTION("REGEXEXTRACT(BOM_OpenBook!AH24, ""(https?://[^\s)]+)"")"),"#N/A")</f>
        <v>#N/A</v>
      </c>
      <c r="G24" s="1" t="str">
        <f ca="1">IFERROR(__xludf.DUMMYFUNCTION("REGEXEXTRACT(BOM_OpenBook!AJ24, ""(https?://[^\s)]+)"")"),"#N/A")</f>
        <v>#N/A</v>
      </c>
      <c r="H24" s="17" t="s">
        <v>374</v>
      </c>
    </row>
    <row r="25" spans="1:8" x14ac:dyDescent="0.25">
      <c r="A25" s="1" t="str">
        <f>BOM_OpenBook!A25</f>
        <v>D3</v>
      </c>
      <c r="B25" s="1" t="str">
        <f>BOM_OpenBook!B25</f>
        <v>MBR0530</v>
      </c>
      <c r="C25" s="1" t="str">
        <f>BOM_OpenBook!C25</f>
        <v>MBR0530</v>
      </c>
      <c r="D25" s="18" t="str">
        <f ca="1">IFERROR(__xludf.DUMMYFUNCTION("REGEXEXTRACT(BOM_OpenBook!J25, ""(https?://[^\s)]+)"")"),"https://eu.mouser.com/ProductDetail/KYOCERA-AVX/SD0805S020S1R0?qs=jCA%252BPfw4LHbpkAoSnwrdjw%3D%3D")</f>
        <v>https://eu.mouser.com/ProductDetail/KYOCERA-AVX/SD0805S020S1R0?qs=jCA%252BPfw4LHbpkAoSnwrdjw%3D%3D</v>
      </c>
      <c r="E25" s="1" t="str">
        <f ca="1">IFERROR(__xludf.DUMMYFUNCTION("REGEXEXTRACT(BOM_OpenBook!L25, ""(https?://[^\s)]+)"")"),"#N/A")</f>
        <v>#N/A</v>
      </c>
      <c r="F25" s="18" t="str">
        <f ca="1">IFERROR(__xludf.DUMMYFUNCTION("REGEXEXTRACT(BOM_OpenBook!AH25, ""(https?://[^\s)]+)"")"),"https://www.snapeda.com/api/url_track_click_mouser/?unipart_id=179458&amp;manufacturer=ON")</f>
        <v>https://www.snapeda.com/api/url_track_click_mouser/?unipart_id=179458&amp;manufacturer=ON</v>
      </c>
      <c r="G25" s="18" t="str">
        <f ca="1">IFERROR(__xludf.DUMMYFUNCTION("REGEXEXTRACT(BOM_OpenBook!AJ25, ""(https?://[^\s)]+)"")"),"https://www.snapeda.com/parts/MBR0530/Onsemi/view-part/?ref=snap")</f>
        <v>https://www.snapeda.com/parts/MBR0530/Onsemi/view-part/?ref=snap</v>
      </c>
      <c r="H25" s="17" t="s">
        <v>373</v>
      </c>
    </row>
    <row r="26" spans="1:8" x14ac:dyDescent="0.25">
      <c r="A26" s="1" t="str">
        <f>BOM_OpenBook!A26</f>
        <v>D4</v>
      </c>
      <c r="B26" s="1" t="str">
        <f>BOM_OpenBook!B26</f>
        <v>MBR0530</v>
      </c>
      <c r="C26" s="1" t="str">
        <f>BOM_OpenBook!C26</f>
        <v>MBR0530</v>
      </c>
      <c r="D26" s="18" t="str">
        <f ca="1">IFERROR(__xludf.DUMMYFUNCTION("REGEXEXTRACT(BOM_OpenBook!J26, ""(https?://[^\s)]+)"")"),"https://www.snapeda.com/parts/MBR0530/Onsemi/view-part/?ref=eda")</f>
        <v>https://www.snapeda.com/parts/MBR0530/Onsemi/view-part/?ref=eda</v>
      </c>
      <c r="E26" s="1" t="str">
        <f ca="1">IFERROR(__xludf.DUMMYFUNCTION("REGEXEXTRACT(BOM_OpenBook!L26, ""(https?://[^\s)]+)"")"),"#N/A")</f>
        <v>#N/A</v>
      </c>
      <c r="F26" s="18" t="str">
        <f ca="1">IFERROR(__xludf.DUMMYFUNCTION("REGEXEXTRACT(BOM_OpenBook!AH26, ""(https?://[^\s)]+)"")"),"https://www.snapeda.com/api/url_track_click_mouser/?unipart_id=179458&amp;manufacturer=ON")</f>
        <v>https://www.snapeda.com/api/url_track_click_mouser/?unipart_id=179458&amp;manufacturer=ON</v>
      </c>
      <c r="G26" s="18" t="str">
        <f ca="1">IFERROR(__xludf.DUMMYFUNCTION("REGEXEXTRACT(BOM_OpenBook!AJ26, ""(https?://[^\s)]+)"")"),"https://www.snapeda.com/parts/MBR0530/Onsemi/view-part/?ref=snap")</f>
        <v>https://www.snapeda.com/parts/MBR0530/Onsemi/view-part/?ref=snap</v>
      </c>
      <c r="H26" s="17" t="s">
        <v>373</v>
      </c>
    </row>
    <row r="27" spans="1:8" x14ac:dyDescent="0.25">
      <c r="A27" s="1" t="str">
        <f>BOM_OpenBook!A27</f>
        <v>D5</v>
      </c>
      <c r="B27" s="1" t="str">
        <f>BOM_OpenBook!B27</f>
        <v>MBR0530</v>
      </c>
      <c r="C27" s="1" t="str">
        <f>BOM_OpenBook!C27</f>
        <v>MBR0530</v>
      </c>
      <c r="D27" s="18" t="str">
        <f ca="1">IFERROR(__xludf.DUMMYFUNCTION("REGEXEXTRACT(BOM_OpenBook!J27, ""(https?://[^\s)]+)"")"),"https://www.snapeda.com/parts/MBR0530/Onsemi/view-part/?ref=eda")</f>
        <v>https://www.snapeda.com/parts/MBR0530/Onsemi/view-part/?ref=eda</v>
      </c>
      <c r="E27" s="1" t="str">
        <f ca="1">IFERROR(__xludf.DUMMYFUNCTION("REGEXEXTRACT(BOM_OpenBook!L27, ""(https?://[^\s)]+)"")"),"#N/A")</f>
        <v>#N/A</v>
      </c>
      <c r="F27" s="18" t="str">
        <f ca="1">IFERROR(__xludf.DUMMYFUNCTION("REGEXEXTRACT(BOM_OpenBook!AH27, ""(https?://[^\s)]+)"")"),"https://www.snapeda.com/api/url_track_click_mouser/?unipart_id=179458&amp;manufacturer=ON")</f>
        <v>https://www.snapeda.com/api/url_track_click_mouser/?unipart_id=179458&amp;manufacturer=ON</v>
      </c>
      <c r="G27" s="18" t="str">
        <f ca="1">IFERROR(__xludf.DUMMYFUNCTION("REGEXEXTRACT(BOM_OpenBook!AJ27, ""(https?://[^\s)]+)"")"),"https://www.snapeda.com/parts/MBR0530/Onsemi/view-part/?ref=snap")</f>
        <v>https://www.snapeda.com/parts/MBR0530/Onsemi/view-part/?ref=snap</v>
      </c>
      <c r="H27" s="17" t="s">
        <v>373</v>
      </c>
    </row>
    <row r="28" spans="1:8" x14ac:dyDescent="0.25">
      <c r="A28" s="1" t="str">
        <f>BOM_OpenBook!A28</f>
        <v>D6</v>
      </c>
      <c r="B28" s="1" t="str">
        <f>BOM_OpenBook!B28</f>
        <v>PGB1010603MR</v>
      </c>
      <c r="C28" s="1" t="str">
        <f>BOM_OpenBook!C28</f>
        <v>PGB1010603MR</v>
      </c>
      <c r="D28" s="18" t="str">
        <f ca="1">IFERROR(__xludf.DUMMYFUNCTION("REGEXEXTRACT(BOM_OpenBook!J28, ""(https?://[^\s)]+)"")"),"https://www.snapeda.com/parts/PGB1010603MR/Littelfuse/view-part/?ref=eda")</f>
        <v>https://www.snapeda.com/parts/PGB1010603MR/Littelfuse/view-part/?ref=eda</v>
      </c>
      <c r="E28" s="1" t="str">
        <f ca="1">IFERROR(__xludf.DUMMYFUNCTION("REGEXEXTRACT(BOM_OpenBook!L28, ""(https?://[^\s)]+)"")"),"#N/A")</f>
        <v>#N/A</v>
      </c>
      <c r="F28" s="18" t="str">
        <f ca="1">IFERROR(__xludf.DUMMYFUNCTION("REGEXEXTRACT(BOM_OpenBook!AH28, ""(https?://[^\s)]+)"")"),"https://www.snapeda.com/api/url_track_click_mouser/?unipart_id=5659453&amp;manufacturer=Littelfuse")</f>
        <v>https://www.snapeda.com/api/url_track_click_mouser/?unipart_id=5659453&amp;manufacturer=Littelfuse</v>
      </c>
      <c r="G28" s="18" t="str">
        <f ca="1">IFERROR(__xludf.DUMMYFUNCTION("REGEXEXTRACT(BOM_OpenBook!AJ28, ""(https?://[^\s)]+)"")"),"https://www.snapeda.com/parts/PGB1010603MR/Littelfuse/view-part/?ref=snap")</f>
        <v>https://www.snapeda.com/parts/PGB1010603MR/Littelfuse/view-part/?ref=snap</v>
      </c>
      <c r="H28" s="17" t="s">
        <v>373</v>
      </c>
    </row>
    <row r="29" spans="1:8" x14ac:dyDescent="0.25">
      <c r="A29" s="1" t="str">
        <f>BOM_OpenBook!A29</f>
        <v>D7</v>
      </c>
      <c r="B29" s="1" t="str">
        <f>BOM_OpenBook!B29</f>
        <v>ESP32_WROVER_AVX---SD0805S020S1R0_AVX_SD0805S020S1R0_0_0AVX_SD0805S020S1R0_0_0</v>
      </c>
      <c r="C29" s="1" t="str">
        <f>BOM_OpenBook!C29</f>
        <v>ESP32_WROVER_AVX---SD0805S020S1R0_AVX_SD0805S020S1R0_0_0AVX_SD0805S020S1R0_0_0</v>
      </c>
      <c r="D29" s="18" t="str">
        <f ca="1">IFERROR(__xludf.DUMMYFUNCTION("REGEXEXTRACT(BOM_OpenBook!J29, ""(https?://[^\s)]+)"")"),"https://eu.mouser.com/ProductDetail/KYOCERA-AVX/SD0805S020S1R0?qs=jCA%252BPfw4LHbpkAoSnwrdjw%3D%3D")</f>
        <v>https://eu.mouser.com/ProductDetail/KYOCERA-AVX/SD0805S020S1R0?qs=jCA%252BPfw4LHbpkAoSnwrdjw%3D%3D</v>
      </c>
      <c r="E29" s="18" t="str">
        <f ca="1">IFERROR(__xludf.DUMMYFUNCTION("REGEXEXTRACT(BOM_OpenBook!L29, ""(https?://[^\s)]+)"")"),"http://datasheets.avx.com/schottky.pdf")</f>
        <v>http://datasheets.avx.com/schottky.pdf</v>
      </c>
      <c r="F29" s="1" t="str">
        <f ca="1">IFERROR(__xludf.DUMMYFUNCTION("REGEXEXTRACT(BOM_OpenBook!AH29, ""(https?://[^\s)]+)"")"),"#N/A")</f>
        <v>#N/A</v>
      </c>
      <c r="G29" s="1" t="str">
        <f ca="1">IFERROR(__xludf.DUMMYFUNCTION("REGEXEXTRACT(BOM_OpenBook!AJ29, ""(https?://[^\s)]+)"")"),"#N/A")</f>
        <v>#N/A</v>
      </c>
    </row>
    <row r="30" spans="1:8" x14ac:dyDescent="0.25">
      <c r="A30" s="1" t="str">
        <f>BOM_OpenBook!A30</f>
        <v>D8</v>
      </c>
      <c r="B30" s="1" t="str">
        <f>BOM_OpenBook!B30</f>
        <v>PGB1010603MR</v>
      </c>
      <c r="C30" s="1" t="str">
        <f>BOM_OpenBook!C30</f>
        <v>PGB1010603MR</v>
      </c>
      <c r="D30" s="18" t="str">
        <f ca="1">IFERROR(__xludf.DUMMYFUNCTION("REGEXEXTRACT(BOM_OpenBook!J30, ""(https?://[^\s)]+)"")"),"https://www.snapeda.com/parts/PGB1010603MR/Littelfuse/view-part/?ref=eda")</f>
        <v>https://www.snapeda.com/parts/PGB1010603MR/Littelfuse/view-part/?ref=eda</v>
      </c>
      <c r="E30" s="1" t="str">
        <f ca="1">IFERROR(__xludf.DUMMYFUNCTION("REGEXEXTRACT(BOM_OpenBook!L30, ""(https?://[^\s)]+)"")"),"#N/A")</f>
        <v>#N/A</v>
      </c>
      <c r="F30" s="18" t="str">
        <f ca="1">IFERROR(__xludf.DUMMYFUNCTION("REGEXEXTRACT(BOM_OpenBook!AH30, ""(https?://[^\s)]+)"")"),"https://www.snapeda.com/api/url_track_click_mouser/?unipart_id=5659453&amp;manufacturer=Littelfuse")</f>
        <v>https://www.snapeda.com/api/url_track_click_mouser/?unipart_id=5659453&amp;manufacturer=Littelfuse</v>
      </c>
      <c r="G30" s="18" t="str">
        <f ca="1">IFERROR(__xludf.DUMMYFUNCTION("REGEXEXTRACT(BOM_OpenBook!AJ30, ""(https?://[^\s)]+)"")"),"https://www.snapeda.com/parts/PGB1010603MR/Littelfuse/view-part/?ref=snap")</f>
        <v>https://www.snapeda.com/parts/PGB1010603MR/Littelfuse/view-part/?ref=snap</v>
      </c>
    </row>
    <row r="31" spans="1:8" x14ac:dyDescent="0.25">
      <c r="A31" s="1" t="str">
        <f>BOM_OpenBook!A31</f>
        <v>D9</v>
      </c>
      <c r="B31" s="1" t="str">
        <f>BOM_OpenBook!B31</f>
        <v>PGB1010603MR</v>
      </c>
      <c r="C31" s="1" t="str">
        <f>BOM_OpenBook!C31</f>
        <v>PGB1010603MR</v>
      </c>
      <c r="D31" s="18" t="str">
        <f ca="1">IFERROR(__xludf.DUMMYFUNCTION("REGEXEXTRACT(BOM_OpenBook!J31, ""(https?://[^\s)]+)"")"),"https://www.snapeda.com/parts/PGB1010603MR/Littelfuse/view-part/?ref=eda")</f>
        <v>https://www.snapeda.com/parts/PGB1010603MR/Littelfuse/view-part/?ref=eda</v>
      </c>
      <c r="E31" s="1" t="str">
        <f ca="1">IFERROR(__xludf.DUMMYFUNCTION("REGEXEXTRACT(BOM_OpenBook!L31, ""(https?://[^\s)]+)"")"),"#N/A")</f>
        <v>#N/A</v>
      </c>
      <c r="F31" s="18" t="str">
        <f ca="1">IFERROR(__xludf.DUMMYFUNCTION("REGEXEXTRACT(BOM_OpenBook!AH31, ""(https?://[^\s)]+)"")"),"https://www.snapeda.com/api/url_track_click_mouser/?unipart_id=5659453&amp;manufacturer=Littelfuse")</f>
        <v>https://www.snapeda.com/api/url_track_click_mouser/?unipart_id=5659453&amp;manufacturer=Littelfuse</v>
      </c>
      <c r="G31" s="18" t="str">
        <f ca="1">IFERROR(__xludf.DUMMYFUNCTION("REGEXEXTRACT(BOM_OpenBook!AJ31, ""(https?://[^\s)]+)"")"),"https://www.snapeda.com/parts/PGB1010603MR/Littelfuse/view-part/?ref=snap")</f>
        <v>https://www.snapeda.com/parts/PGB1010603MR/Littelfuse/view-part/?ref=snap</v>
      </c>
    </row>
    <row r="32" spans="1:8" x14ac:dyDescent="0.25">
      <c r="A32" s="1" t="str">
        <f>BOM_OpenBook!A32</f>
        <v>D10</v>
      </c>
      <c r="B32" s="1" t="str">
        <f>BOM_OpenBook!B32</f>
        <v>PGB1010603MR</v>
      </c>
      <c r="C32" s="1" t="str">
        <f>BOM_OpenBook!C32</f>
        <v>PGB1010603MR</v>
      </c>
      <c r="D32" s="18" t="str">
        <f ca="1">IFERROR(__xludf.DUMMYFUNCTION("REGEXEXTRACT(BOM_OpenBook!J32, ""(https?://[^\s)]+)"")"),"https://www.snapeda.com/parts/PGB1010603MR/Littelfuse/view-part/?ref=eda")</f>
        <v>https://www.snapeda.com/parts/PGB1010603MR/Littelfuse/view-part/?ref=eda</v>
      </c>
      <c r="E32" s="1" t="str">
        <f ca="1">IFERROR(__xludf.DUMMYFUNCTION("REGEXEXTRACT(BOM_OpenBook!L32, ""(https?://[^\s)]+)"")"),"#N/A")</f>
        <v>#N/A</v>
      </c>
      <c r="F32" s="18" t="str">
        <f ca="1">IFERROR(__xludf.DUMMYFUNCTION("REGEXEXTRACT(BOM_OpenBook!AH32, ""(https?://[^\s)]+)"")"),"https://www.snapeda.com/api/url_track_click_mouser/?unipart_id=5659453&amp;manufacturer=Littelfuse")</f>
        <v>https://www.snapeda.com/api/url_track_click_mouser/?unipart_id=5659453&amp;manufacturer=Littelfuse</v>
      </c>
      <c r="G32" s="18" t="str">
        <f ca="1">IFERROR(__xludf.DUMMYFUNCTION("REGEXEXTRACT(BOM_OpenBook!AJ32, ""(https?://[^\s)]+)"")"),"https://www.snapeda.com/parts/PGB1010603MR/Littelfuse/view-part/?ref=snap")</f>
        <v>https://www.snapeda.com/parts/PGB1010603MR/Littelfuse/view-part/?ref=snap</v>
      </c>
    </row>
    <row r="33" spans="1:7" x14ac:dyDescent="0.25">
      <c r="A33" s="1" t="str">
        <f>BOM_OpenBook!A33</f>
        <v>D11</v>
      </c>
      <c r="B33" s="1" t="str">
        <f>BOM_OpenBook!B33</f>
        <v>PGB1010603MR</v>
      </c>
      <c r="C33" s="1" t="str">
        <f>BOM_OpenBook!C33</f>
        <v>PGB1010603MR</v>
      </c>
      <c r="D33" s="18" t="str">
        <f ca="1">IFERROR(__xludf.DUMMYFUNCTION("REGEXEXTRACT(BOM_OpenBook!J33, ""(https?://[^\s)]+)"")"),"https://www.snapeda.com/parts/PGB1010603MR/Littelfuse/view-part/?ref=eda")</f>
        <v>https://www.snapeda.com/parts/PGB1010603MR/Littelfuse/view-part/?ref=eda</v>
      </c>
      <c r="E33" s="1" t="str">
        <f ca="1">IFERROR(__xludf.DUMMYFUNCTION("REGEXEXTRACT(BOM_OpenBook!L33, ""(https?://[^\s)]+)"")"),"#N/A")</f>
        <v>#N/A</v>
      </c>
      <c r="F33" s="18" t="str">
        <f ca="1">IFERROR(__xludf.DUMMYFUNCTION("REGEXEXTRACT(BOM_OpenBook!AH33, ""(https?://[^\s)]+)"")"),"https://www.snapeda.com/api/url_track_click_mouser/?unipart_id=5659453&amp;manufacturer=Littelfuse")</f>
        <v>https://www.snapeda.com/api/url_track_click_mouser/?unipart_id=5659453&amp;manufacturer=Littelfuse</v>
      </c>
      <c r="G33" s="18" t="str">
        <f ca="1">IFERROR(__xludf.DUMMYFUNCTION("REGEXEXTRACT(BOM_OpenBook!AJ33, ""(https?://[^\s)]+)"")"),"https://www.snapeda.com/parts/PGB1010603MR/Littelfuse/view-part/?ref=snap")</f>
        <v>https://www.snapeda.com/parts/PGB1010603MR/Littelfuse/view-part/?ref=snap</v>
      </c>
    </row>
    <row r="34" spans="1:7" x14ac:dyDescent="0.25">
      <c r="A34" s="1" t="str">
        <f>BOM_OpenBook!A34</f>
        <v>D12</v>
      </c>
      <c r="B34" s="1" t="str">
        <f>BOM_OpenBook!B34</f>
        <v>PGB1010603MR</v>
      </c>
      <c r="C34" s="1" t="str">
        <f>BOM_OpenBook!C34</f>
        <v>PGB1010603MR</v>
      </c>
      <c r="D34" s="18" t="str">
        <f ca="1">IFERROR(__xludf.DUMMYFUNCTION("REGEXEXTRACT(BOM_OpenBook!J34, ""(https?://[^\s)]+)"")"),"https://www.snapeda.com/parts/PGB1010603MR/Littelfuse/view-part/?ref=eda")</f>
        <v>https://www.snapeda.com/parts/PGB1010603MR/Littelfuse/view-part/?ref=eda</v>
      </c>
      <c r="E34" s="1" t="str">
        <f ca="1">IFERROR(__xludf.DUMMYFUNCTION("REGEXEXTRACT(BOM_OpenBook!L34, ""(https?://[^\s)]+)"")"),"#N/A")</f>
        <v>#N/A</v>
      </c>
      <c r="F34" s="18" t="str">
        <f ca="1">IFERROR(__xludf.DUMMYFUNCTION("REGEXEXTRACT(BOM_OpenBook!AH34, ""(https?://[^\s)]+)"")"),"https://www.snapeda.com/api/url_track_click_mouser/?unipart_id=5659453&amp;manufacturer=Littelfuse")</f>
        <v>https://www.snapeda.com/api/url_track_click_mouser/?unipart_id=5659453&amp;manufacturer=Littelfuse</v>
      </c>
      <c r="G34" s="18" t="str">
        <f ca="1">IFERROR(__xludf.DUMMYFUNCTION("REGEXEXTRACT(BOM_OpenBook!AJ34, ""(https?://[^\s)]+)"")"),"https://www.snapeda.com/parts/PGB1010603MR/Littelfuse/view-part/?ref=snap")</f>
        <v>https://www.snapeda.com/parts/PGB1010603MR/Littelfuse/view-part/?ref=snap</v>
      </c>
    </row>
    <row r="35" spans="1:7" x14ac:dyDescent="0.25">
      <c r="A35" s="1" t="str">
        <f>BOM_OpenBook!A35</f>
        <v>EPD_C1</v>
      </c>
      <c r="B35" s="1" t="str">
        <f>BOM_OpenBook!B35</f>
        <v>1uF/50V</v>
      </c>
      <c r="C35" s="1" t="str">
        <f>BOM_OpenBook!C35</f>
        <v>ESP32_WROVER_EAGLE-LTSPICE_CC0402</v>
      </c>
      <c r="D35" s="1" t="str">
        <f ca="1">IFERROR(__xludf.DUMMYFUNCTION("REGEXEXTRACT(BOM_OpenBook!J35, ""(https?://[^\s)]+)"")"),"#N/A")</f>
        <v>#N/A</v>
      </c>
      <c r="E35" s="1" t="str">
        <f ca="1">IFERROR(__xludf.DUMMYFUNCTION("REGEXEXTRACT(BOM_OpenBook!L35, ""(https?://[^\s)]+)"")"),"#N/A")</f>
        <v>#N/A</v>
      </c>
      <c r="F35" s="1" t="str">
        <f ca="1">IFERROR(__xludf.DUMMYFUNCTION("REGEXEXTRACT(BOM_OpenBook!AH35, ""(https?://[^\s)]+)"")"),"#N/A")</f>
        <v>#N/A</v>
      </c>
      <c r="G35" s="1" t="str">
        <f ca="1">IFERROR(__xludf.DUMMYFUNCTION("REGEXEXTRACT(BOM_OpenBook!AJ35, ""(https?://[^\s)]+)"")"),"#N/A")</f>
        <v>#N/A</v>
      </c>
    </row>
    <row r="36" spans="1:7" x14ac:dyDescent="0.25">
      <c r="A36" s="1" t="str">
        <f>BOM_OpenBook!A36</f>
        <v>EPD_C2</v>
      </c>
      <c r="B36" s="1" t="str">
        <f>BOM_OpenBook!B36</f>
        <v>1uF/50V</v>
      </c>
      <c r="C36" s="1" t="str">
        <f>BOM_OpenBook!C36</f>
        <v>ESP32_WROVER_EAGLE-LTSPICE_CC0402</v>
      </c>
      <c r="D36" s="1" t="str">
        <f ca="1">IFERROR(__xludf.DUMMYFUNCTION("REGEXEXTRACT(BOM_OpenBook!J36, ""(https?://[^\s)]+)"")"),"#N/A")</f>
        <v>#N/A</v>
      </c>
      <c r="E36" s="1" t="str">
        <f ca="1">IFERROR(__xludf.DUMMYFUNCTION("REGEXEXTRACT(BOM_OpenBook!L36, ""(https?://[^\s)]+)"")"),"#N/A")</f>
        <v>#N/A</v>
      </c>
      <c r="F36" s="1" t="str">
        <f ca="1">IFERROR(__xludf.DUMMYFUNCTION("REGEXEXTRACT(BOM_OpenBook!AH36, ""(https?://[^\s)]+)"")"),"#N/A")</f>
        <v>#N/A</v>
      </c>
      <c r="G36" s="1" t="str">
        <f ca="1">IFERROR(__xludf.DUMMYFUNCTION("REGEXEXTRACT(BOM_OpenBook!AJ36, ""(https?://[^\s)]+)"")"),"#N/A")</f>
        <v>#N/A</v>
      </c>
    </row>
    <row r="37" spans="1:7" x14ac:dyDescent="0.25">
      <c r="A37" s="1" t="str">
        <f>BOM_OpenBook!A37</f>
        <v>EPD_C5</v>
      </c>
      <c r="B37" s="1" t="str">
        <f>BOM_OpenBook!B37</f>
        <v>1uF/50V</v>
      </c>
      <c r="C37" s="1" t="str">
        <f>BOM_OpenBook!C37</f>
        <v>ESP32_WROVER_EAGLE-LTSPICE_CC0402</v>
      </c>
      <c r="D37" s="1" t="str">
        <f ca="1">IFERROR(__xludf.DUMMYFUNCTION("REGEXEXTRACT(BOM_OpenBook!J37, ""(https?://[^\s)]+)"")"),"#N/A")</f>
        <v>#N/A</v>
      </c>
      <c r="E37" s="1" t="str">
        <f ca="1">IFERROR(__xludf.DUMMYFUNCTION("REGEXEXTRACT(BOM_OpenBook!L37, ""(https?://[^\s)]+)"")"),"#N/A")</f>
        <v>#N/A</v>
      </c>
      <c r="F37" s="1" t="str">
        <f ca="1">IFERROR(__xludf.DUMMYFUNCTION("REGEXEXTRACT(BOM_OpenBook!AH37, ""(https?://[^\s)]+)"")"),"#N/A")</f>
        <v>#N/A</v>
      </c>
      <c r="G37" s="1" t="str">
        <f ca="1">IFERROR(__xludf.DUMMYFUNCTION("REGEXEXTRACT(BOM_OpenBook!AJ37, ""(https?://[^\s)]+)"")"),"#N/A")</f>
        <v>#N/A</v>
      </c>
    </row>
    <row r="38" spans="1:7" x14ac:dyDescent="0.25">
      <c r="A38" s="1" t="str">
        <f>BOM_OpenBook!A38</f>
        <v>EPD_C6</v>
      </c>
      <c r="B38" s="1" t="str">
        <f>BOM_OpenBook!B38</f>
        <v>1uF/50V</v>
      </c>
      <c r="C38" s="1" t="str">
        <f>BOM_OpenBook!C38</f>
        <v>ESP32_WROVER_EAGLE-LTSPICE_CC0402</v>
      </c>
      <c r="D38" s="1" t="str">
        <f ca="1">IFERROR(__xludf.DUMMYFUNCTION("REGEXEXTRACT(BOM_OpenBook!J38, ""(https?://[^\s)]+)"")"),"#N/A")</f>
        <v>#N/A</v>
      </c>
      <c r="E38" s="1" t="str">
        <f ca="1">IFERROR(__xludf.DUMMYFUNCTION("REGEXEXTRACT(BOM_OpenBook!L38, ""(https?://[^\s)]+)"")"),"#N/A")</f>
        <v>#N/A</v>
      </c>
      <c r="F38" s="1" t="str">
        <f ca="1">IFERROR(__xludf.DUMMYFUNCTION("REGEXEXTRACT(BOM_OpenBook!AH38, ""(https?://[^\s)]+)"")"),"#N/A")</f>
        <v>#N/A</v>
      </c>
      <c r="G38" s="1" t="str">
        <f ca="1">IFERROR(__xludf.DUMMYFUNCTION("REGEXEXTRACT(BOM_OpenBook!AJ38, ""(https?://[^\s)]+)"")"),"#N/A")</f>
        <v>#N/A</v>
      </c>
    </row>
    <row r="39" spans="1:7" x14ac:dyDescent="0.25">
      <c r="A39" s="1" t="str">
        <f>BOM_OpenBook!A39</f>
        <v>EPD_C7</v>
      </c>
      <c r="B39" s="1" t="str">
        <f>BOM_OpenBook!B39</f>
        <v>1uF/50V</v>
      </c>
      <c r="C39" s="1" t="str">
        <f>BOM_OpenBook!C39</f>
        <v>ESP32_WROVER_EAGLE-LTSPICE_CC0402</v>
      </c>
      <c r="D39" s="1" t="str">
        <f ca="1">IFERROR(__xludf.DUMMYFUNCTION("REGEXEXTRACT(BOM_OpenBook!J39, ""(https?://[^\s)]+)"")"),"#N/A")</f>
        <v>#N/A</v>
      </c>
      <c r="E39" s="1" t="str">
        <f ca="1">IFERROR(__xludf.DUMMYFUNCTION("REGEXEXTRACT(BOM_OpenBook!L39, ""(https?://[^\s)]+)"")"),"#N/A")</f>
        <v>#N/A</v>
      </c>
      <c r="F39" s="1" t="str">
        <f ca="1">IFERROR(__xludf.DUMMYFUNCTION("REGEXEXTRACT(BOM_OpenBook!AH39, ""(https?://[^\s)]+)"")"),"#N/A")</f>
        <v>#N/A</v>
      </c>
      <c r="G39" s="1" t="str">
        <f ca="1">IFERROR(__xludf.DUMMYFUNCTION("REGEXEXTRACT(BOM_OpenBook!AJ39, ""(https?://[^\s)]+)"")"),"#N/A")</f>
        <v>#N/A</v>
      </c>
    </row>
    <row r="40" spans="1:7" x14ac:dyDescent="0.25">
      <c r="A40" s="1" t="str">
        <f>BOM_OpenBook!A40</f>
        <v>EPD_C8</v>
      </c>
      <c r="B40" s="1" t="str">
        <f>BOM_OpenBook!B40</f>
        <v>1uF/50V</v>
      </c>
      <c r="C40" s="1" t="str">
        <f>BOM_OpenBook!C40</f>
        <v>ESP32_WROVER_EAGLE-LTSPICE_CC0402</v>
      </c>
      <c r="D40" s="1" t="str">
        <f ca="1">IFERROR(__xludf.DUMMYFUNCTION("REGEXEXTRACT(BOM_OpenBook!J40, ""(https?://[^\s)]+)"")"),"#N/A")</f>
        <v>#N/A</v>
      </c>
      <c r="E40" s="1" t="str">
        <f ca="1">IFERROR(__xludf.DUMMYFUNCTION("REGEXEXTRACT(BOM_OpenBook!L40, ""(https?://[^\s)]+)"")"),"#N/A")</f>
        <v>#N/A</v>
      </c>
      <c r="F40" s="1" t="str">
        <f ca="1">IFERROR(__xludf.DUMMYFUNCTION("REGEXEXTRACT(BOM_OpenBook!AH40, ""(https?://[^\s)]+)"")"),"#N/A")</f>
        <v>#N/A</v>
      </c>
      <c r="G40" s="1" t="str">
        <f ca="1">IFERROR(__xludf.DUMMYFUNCTION("REGEXEXTRACT(BOM_OpenBook!AJ40, ""(https?://[^\s)]+)"")"),"#N/A")</f>
        <v>#N/A</v>
      </c>
    </row>
    <row r="41" spans="1:7" x14ac:dyDescent="0.25">
      <c r="A41" s="1" t="str">
        <f>BOM_OpenBook!A41</f>
        <v>EPD_C9</v>
      </c>
      <c r="B41" s="1" t="str">
        <f>BOM_OpenBook!B41</f>
        <v>1uF/50V</v>
      </c>
      <c r="C41" s="1" t="str">
        <f>BOM_OpenBook!C41</f>
        <v>ESP32_WROVER_EAGLE-LTSPICE_CC0402</v>
      </c>
      <c r="D41" s="1" t="str">
        <f ca="1">IFERROR(__xludf.DUMMYFUNCTION("REGEXEXTRACT(BOM_OpenBook!J41, ""(https?://[^\s)]+)"")"),"#N/A")</f>
        <v>#N/A</v>
      </c>
      <c r="E41" s="1" t="str">
        <f ca="1">IFERROR(__xludf.DUMMYFUNCTION("REGEXEXTRACT(BOM_OpenBook!L41, ""(https?://[^\s)]+)"")"),"#N/A")</f>
        <v>#N/A</v>
      </c>
      <c r="F41" s="1" t="str">
        <f ca="1">IFERROR(__xludf.DUMMYFUNCTION("REGEXEXTRACT(BOM_OpenBook!AH41, ""(https?://[^\s)]+)"")"),"#N/A")</f>
        <v>#N/A</v>
      </c>
      <c r="G41" s="1" t="str">
        <f ca="1">IFERROR(__xludf.DUMMYFUNCTION("REGEXEXTRACT(BOM_OpenBook!AJ41, ""(https?://[^\s)]+)"")"),"#N/A")</f>
        <v>#N/A</v>
      </c>
    </row>
    <row r="42" spans="1:7" x14ac:dyDescent="0.25">
      <c r="A42" s="1" t="str">
        <f>BOM_OpenBook!A42</f>
        <v>EPD_C10</v>
      </c>
      <c r="B42" s="1" t="str">
        <f>BOM_OpenBook!B42</f>
        <v>1uF/50V</v>
      </c>
      <c r="C42" s="1" t="str">
        <f>BOM_OpenBook!C42</f>
        <v>ESP32_WROVER_EAGLE-LTSPICE_CC0402</v>
      </c>
      <c r="D42" s="1" t="str">
        <f ca="1">IFERROR(__xludf.DUMMYFUNCTION("REGEXEXTRACT(BOM_OpenBook!J42, ""(https?://[^\s)]+)"")"),"#N/A")</f>
        <v>#N/A</v>
      </c>
      <c r="E42" s="1" t="str">
        <f ca="1">IFERROR(__xludf.DUMMYFUNCTION("REGEXEXTRACT(BOM_OpenBook!L42, ""(https?://[^\s)]+)"")"),"#N/A")</f>
        <v>#N/A</v>
      </c>
      <c r="F42" s="1" t="str">
        <f ca="1">IFERROR(__xludf.DUMMYFUNCTION("REGEXEXTRACT(BOM_OpenBook!AH42, ""(https?://[^\s)]+)"")"),"#N/A")</f>
        <v>#N/A</v>
      </c>
      <c r="G42" s="1" t="str">
        <f ca="1">IFERROR(__xludf.DUMMYFUNCTION("REGEXEXTRACT(BOM_OpenBook!AJ42, ""(https?://[^\s)]+)"")"),"#N/A")</f>
        <v>#N/A</v>
      </c>
    </row>
    <row r="43" spans="1:7" x14ac:dyDescent="0.25">
      <c r="A43" s="1" t="str">
        <f>BOM_OpenBook!A43</f>
        <v>EPD_C11</v>
      </c>
      <c r="B43" s="1" t="str">
        <f>BOM_OpenBook!B43</f>
        <v>1uF/50V</v>
      </c>
      <c r="C43" s="1" t="str">
        <f>BOM_OpenBook!C43</f>
        <v>ESP32_WROVER_EAGLE-LTSPICE_CC0402</v>
      </c>
      <c r="D43" s="1" t="str">
        <f ca="1">IFERROR(__xludf.DUMMYFUNCTION("REGEXEXTRACT(BOM_OpenBook!J43, ""(https?://[^\s)]+)"")"),"#N/A")</f>
        <v>#N/A</v>
      </c>
      <c r="E43" s="1" t="str">
        <f ca="1">IFERROR(__xludf.DUMMYFUNCTION("REGEXEXTRACT(BOM_OpenBook!L43, ""(https?://[^\s)]+)"")"),"#N/A")</f>
        <v>#N/A</v>
      </c>
      <c r="F43" s="1" t="str">
        <f ca="1">IFERROR(__xludf.DUMMYFUNCTION("REGEXEXTRACT(BOM_OpenBook!AH43, ""(https?://[^\s)]+)"")"),"#N/A")</f>
        <v>#N/A</v>
      </c>
      <c r="G43" s="1" t="str">
        <f ca="1">IFERROR(__xludf.DUMMYFUNCTION("REGEXEXTRACT(BOM_OpenBook!AJ43, ""(https?://[^\s)]+)"")"),"#N/A")</f>
        <v>#N/A</v>
      </c>
    </row>
    <row r="44" spans="1:7" x14ac:dyDescent="0.25">
      <c r="A44" s="1" t="str">
        <f>BOM_OpenBook!A44</f>
        <v>EPD_C12</v>
      </c>
      <c r="B44" s="1" t="str">
        <f>BOM_OpenBook!B44</f>
        <v>1uF/50V</v>
      </c>
      <c r="C44" s="1" t="str">
        <f>BOM_OpenBook!C44</f>
        <v>ESP32_WROVER_EAGLE-LTSPICE_CC0402</v>
      </c>
      <c r="D44" s="1" t="str">
        <f ca="1">IFERROR(__xludf.DUMMYFUNCTION("REGEXEXTRACT(BOM_OpenBook!J44, ""(https?://[^\s)]+)"")"),"#N/A")</f>
        <v>#N/A</v>
      </c>
      <c r="E44" s="1" t="str">
        <f ca="1">IFERROR(__xludf.DUMMYFUNCTION("REGEXEXTRACT(BOM_OpenBook!L44, ""(https?://[^\s)]+)"")"),"#N/A")</f>
        <v>#N/A</v>
      </c>
      <c r="F44" s="1" t="str">
        <f ca="1">IFERROR(__xludf.DUMMYFUNCTION("REGEXEXTRACT(BOM_OpenBook!AH44, ""(https?://[^\s)]+)"")"),"#N/A")</f>
        <v>#N/A</v>
      </c>
      <c r="G44" s="1" t="str">
        <f ca="1">IFERROR(__xludf.DUMMYFUNCTION("REGEXEXTRACT(BOM_OpenBook!AJ44, ""(https?://[^\s)]+)"")"),"#N/A")</f>
        <v>#N/A</v>
      </c>
    </row>
    <row r="45" spans="1:7" x14ac:dyDescent="0.25">
      <c r="A45" s="1" t="str">
        <f>BOM_OpenBook!A45</f>
        <v>IC1</v>
      </c>
      <c r="B45" s="1" t="str">
        <f>BOM_OpenBook!B45</f>
        <v>BD5229G-TR</v>
      </c>
      <c r="C45" s="1" t="str">
        <f>BOM_OpenBook!C45</f>
        <v>BD5229G-TR</v>
      </c>
      <c r="D45" s="18" t="str">
        <f ca="1">IFERROR(__xludf.DUMMYFUNCTION("REGEXEXTRACT(BOM_OpenBook!J45, ""(https?://[^\s)]+)"")"),"https://componentsearchengine.com/part-view/BD5229G-TR/ROHM%20Semiconductor")</f>
        <v>https://componentsearchengine.com/part-view/BD5229G-TR/ROHM%20Semiconductor</v>
      </c>
      <c r="E45" s="1" t="str">
        <f ca="1">IFERROR(__xludf.DUMMYFUNCTION("REGEXEXTRACT(BOM_OpenBook!L45, ""(https?://[^\s)]+)"")"),"#N/A")</f>
        <v>#N/A</v>
      </c>
      <c r="F45" s="1" t="str">
        <f ca="1">IFERROR(__xludf.DUMMYFUNCTION("REGEXEXTRACT(BOM_OpenBook!AH45, ""(https?://[^\s)]+)"")"),"#N/A")</f>
        <v>#N/A</v>
      </c>
      <c r="G45" s="1" t="str">
        <f ca="1">IFERROR(__xludf.DUMMYFUNCTION("REGEXEXTRACT(BOM_OpenBook!AJ45, ""(https?://[^\s)]+)"")"),"#N/A")</f>
        <v>#N/A</v>
      </c>
    </row>
    <row r="46" spans="1:7" x14ac:dyDescent="0.25">
      <c r="A46" s="1" t="str">
        <f>BOM_OpenBook!A46</f>
        <v>IC4</v>
      </c>
      <c r="B46" s="1" t="str">
        <f>BOM_OpenBook!B46</f>
        <v>XC6220A331MR-G</v>
      </c>
      <c r="C46" s="1" t="str">
        <f>BOM_OpenBook!C46</f>
        <v>XC6220A331MR-G</v>
      </c>
      <c r="D46" s="18" t="str">
        <f ca="1">IFERROR(__xludf.DUMMYFUNCTION("REGEXEXTRACT(BOM_OpenBook!J46, ""(https?://[^\s)]+)"")"),"https://componentsearchengine.com/part-view/XC6220A331MR-G/Torex")</f>
        <v>https://componentsearchengine.com/part-view/XC6220A331MR-G/Torex</v>
      </c>
      <c r="E46" s="1" t="str">
        <f ca="1">IFERROR(__xludf.DUMMYFUNCTION("REGEXEXTRACT(BOM_OpenBook!L46, ""(https?://[^\s)]+)"")"),"#N/A")</f>
        <v>#N/A</v>
      </c>
      <c r="F46" s="1" t="str">
        <f ca="1">IFERROR(__xludf.DUMMYFUNCTION("REGEXEXTRACT(BOM_OpenBook!AH46, ""(https?://[^\s)]+)"")"),"#N/A")</f>
        <v>#N/A</v>
      </c>
      <c r="G46" s="1" t="str">
        <f ca="1">IFERROR(__xludf.DUMMYFUNCTION("REGEXEXTRACT(BOM_OpenBook!AJ46, ""(https?://[^\s)]+)"")"),"#N/A")</f>
        <v>#N/A</v>
      </c>
    </row>
    <row r="47" spans="1:7" x14ac:dyDescent="0.25">
      <c r="A47" s="1" t="str">
        <f>BOM_OpenBook!A47</f>
        <v>J1</v>
      </c>
      <c r="B47" s="1" t="str">
        <f>BOM_OpenBook!B47</f>
        <v>FH34SRJ-24S-0.5SH_99_</v>
      </c>
      <c r="C47" s="1" t="str">
        <f>BOM_OpenBook!C47</f>
        <v>FH34SRJ-24S-0.5SH_99_</v>
      </c>
      <c r="D47" s="18" t="str">
        <f ca="1">IFERROR(__xludf.DUMMYFUNCTION("REGEXEXTRACT(BOM_OpenBook!J47, ""(https?://[^\s)]+)"")"),"https://componentsearchengine.com/part-view/XC6220A331MR-G/Torex")</f>
        <v>https://componentsearchengine.com/part-view/XC6220A331MR-G/Torex</v>
      </c>
      <c r="E47" s="1" t="str">
        <f ca="1">IFERROR(__xludf.DUMMYFUNCTION("REGEXEXTRACT(BOM_OpenBook!L47, ""(https?://[^\s)]+)"")"),"#N/A")</f>
        <v>#N/A</v>
      </c>
      <c r="F47" s="1" t="str">
        <f ca="1">IFERROR(__xludf.DUMMYFUNCTION("REGEXEXTRACT(BOM_OpenBook!AH47, ""(https?://[^\s)]+)"")"),"#N/A")</f>
        <v>#N/A</v>
      </c>
      <c r="G47" s="1" t="str">
        <f ca="1">IFERROR(__xludf.DUMMYFUNCTION("REGEXEXTRACT(BOM_OpenBook!AJ47, ""(https?://[^\s)]+)"")"),"#N/A")</f>
        <v>#N/A</v>
      </c>
    </row>
    <row r="48" spans="1:7" x14ac:dyDescent="0.25">
      <c r="A48" s="1" t="str">
        <f>BOM_OpenBook!A48</f>
        <v>J2</v>
      </c>
      <c r="B48" s="1" t="str">
        <f>BOM_OpenBook!B48</f>
        <v>SAMACSYS_PARTS_USB4110-GF-A</v>
      </c>
      <c r="C48" s="1" t="str">
        <f>BOM_OpenBook!C48</f>
        <v>SAMACSYS_PARTS_USB4110-GF-A</v>
      </c>
      <c r="D48" s="18" t="str">
        <f ca="1">IFERROR(__xludf.DUMMYFUNCTION("REGEXEXTRACT(BOM_OpenBook!J48, ""(https?://[^\s)]+)"")"),"https://componentsearchengine.com/part-view/USB4110-GF-A/GCT%20(GLOBAL%20CONNECTOR%20TECHNOLOGY")</f>
        <v>https://componentsearchengine.com/part-view/USB4110-GF-A/GCT%20(GLOBAL%20CONNECTOR%20TECHNOLOGY</v>
      </c>
      <c r="E48" s="1" t="str">
        <f ca="1">IFERROR(__xludf.DUMMYFUNCTION("REGEXEXTRACT(BOM_OpenBook!L48, ""(https?://[^\s)]+)"")"),"#N/A")</f>
        <v>#N/A</v>
      </c>
      <c r="F48" s="1" t="str">
        <f ca="1">IFERROR(__xludf.DUMMYFUNCTION("REGEXEXTRACT(BOM_OpenBook!AH48, ""(https?://[^\s)]+)"")"),"#N/A")</f>
        <v>#N/A</v>
      </c>
      <c r="G48" s="1" t="str">
        <f ca="1">IFERROR(__xludf.DUMMYFUNCTION("REGEXEXTRACT(BOM_OpenBook!AJ48, ""(https?://[^\s)]+)"")"),"#N/A")</f>
        <v>#N/A</v>
      </c>
    </row>
    <row r="49" spans="1:7" x14ac:dyDescent="0.25">
      <c r="A49" s="1" t="str">
        <f>BOM_OpenBook!A49</f>
        <v>J3</v>
      </c>
      <c r="B49" s="1" t="str">
        <f>BOM_OpenBook!B49</f>
        <v>QWIIC_RIGHT_ANGLE</v>
      </c>
      <c r="C49" s="1" t="str">
        <f>BOM_OpenBook!C49</f>
        <v>QWIIC_CONNECTORJS-1MM</v>
      </c>
      <c r="D49" s="1" t="str">
        <f ca="1">IFERROR(__xludf.DUMMYFUNCTION("REGEXEXTRACT(BOM_OpenBook!J49, ""(https?://[^\s)]+)"")"),"#N/A")</f>
        <v>#N/A</v>
      </c>
      <c r="E49" s="1" t="str">
        <f ca="1">IFERROR(__xludf.DUMMYFUNCTION("REGEXEXTRACT(BOM_OpenBook!L49, ""(https?://[^\s)]+)"")"),"#N/A")</f>
        <v>#N/A</v>
      </c>
      <c r="F49" s="1" t="str">
        <f ca="1">IFERROR(__xludf.DUMMYFUNCTION("REGEXEXTRACT(BOM_OpenBook!AH49, ""(https?://[^\s)]+)"")"),"#N/A")</f>
        <v>#N/A</v>
      </c>
      <c r="G49" s="1" t="str">
        <f ca="1">IFERROR(__xludf.DUMMYFUNCTION("REGEXEXTRACT(BOM_OpenBook!AJ49, ""(https?://[^\s)]+)"")"),"#N/A")</f>
        <v>#N/A</v>
      </c>
    </row>
    <row r="50" spans="1:7" x14ac:dyDescent="0.25">
      <c r="A50" s="1" t="str">
        <f>BOM_OpenBook!A50</f>
        <v>J4</v>
      </c>
      <c r="B50" s="1" t="str">
        <f>BOM_OpenBook!B50</f>
        <v>112A-TAAR-R03_ATTEND</v>
      </c>
      <c r="C50" s="1" t="str">
        <f>BOM_OpenBook!C50</f>
        <v>112A-TAAR-R03_ATTEND</v>
      </c>
      <c r="D50" s="18" t="str">
        <f ca="1">IFERROR(__xludf.DUMMYFUNCTION("REGEXEXTRACT(BOM_OpenBook!J50, ""(https?://[^\s)]+)"")"),"https://store.comet.srl.ro/Catalogue/Product/43497/")</f>
        <v>https://store.comet.srl.ro/Catalogue/Product/43497/</v>
      </c>
      <c r="E50" s="1" t="str">
        <f ca="1">IFERROR(__xludf.DUMMYFUNCTION("REGEXEXTRACT(BOM_OpenBook!L50, ""(https?://[^\s)]+)"")"),"#N/A")</f>
        <v>#N/A</v>
      </c>
      <c r="F50" s="1" t="str">
        <f ca="1">IFERROR(__xludf.DUMMYFUNCTION("REGEXEXTRACT(BOM_OpenBook!AH50, ""(https?://[^\s)]+)"")"),"#N/A")</f>
        <v>#N/A</v>
      </c>
      <c r="G50" s="1" t="str">
        <f ca="1">IFERROR(__xludf.DUMMYFUNCTION("REGEXEXTRACT(BOM_OpenBook!AJ50, ""(https?://[^\s)]+)"")"),"#N/A")</f>
        <v>#N/A</v>
      </c>
    </row>
    <row r="51" spans="1:7" x14ac:dyDescent="0.25">
      <c r="A51" s="1" t="str">
        <f>BOM_OpenBook!A51</f>
        <v>L1</v>
      </c>
      <c r="B51" s="1" t="str">
        <f>BOM_OpenBook!B51</f>
        <v>68uH</v>
      </c>
      <c r="C51" s="1" t="str">
        <f>BOM_OpenBook!C51</f>
        <v>744043680IND_4828-WE-TPC_WRE</v>
      </c>
      <c r="D51" s="18" t="str">
        <f ca="1">IFERROR(__xludf.DUMMYFUNCTION("REGEXEXTRACT(BOM_OpenBook!J51, ""(https?://[^\s)]+)"")"),"https://eu.mouser.com/ProductDetail/Wurth-Elektronik/744043680?qs=PGXP4M47uW6VkZq%252BkzjrHA%3D%3D")</f>
        <v>https://eu.mouser.com/ProductDetail/Wurth-Elektronik/744043680?qs=PGXP4M47uW6VkZq%252BkzjrHA%3D%3D</v>
      </c>
      <c r="E51" s="1" t="str">
        <f ca="1">IFERROR(__xludf.DUMMYFUNCTION("REGEXEXTRACT(BOM_OpenBook!L51, ""(https?://[^\s)]+)"")"),"#N/A")</f>
        <v>#N/A</v>
      </c>
      <c r="F51" s="1" t="str">
        <f ca="1">IFERROR(__xludf.DUMMYFUNCTION("REGEXEXTRACT(BOM_OpenBook!AH51, ""(https?://[^\s)]+)"")"),"#N/A")</f>
        <v>#N/A</v>
      </c>
      <c r="G51" s="1" t="str">
        <f ca="1">IFERROR(__xludf.DUMMYFUNCTION("REGEXEXTRACT(BOM_OpenBook!AJ51, ""(https?://[^\s)]+)"")"),"#N/A")</f>
        <v>#N/A</v>
      </c>
    </row>
    <row r="52" spans="1:7" x14ac:dyDescent="0.25">
      <c r="A52" s="1" t="str">
        <f>BOM_OpenBook!A52</f>
        <v>PFMF.050.1</v>
      </c>
      <c r="B52" s="1" t="str">
        <f>BOM_OpenBook!B52</f>
        <v>ESP32C6_VARISTORCN1812</v>
      </c>
      <c r="C52" s="1" t="str">
        <f>BOM_OpenBook!C52</f>
        <v>ESP32C6_VARISTORCN1812</v>
      </c>
      <c r="D52" s="18" t="str">
        <f ca="1">IFERROR(__xludf.DUMMYFUNCTION("REGEXEXTRACT(BOM_OpenBook!J52, ""(https?://[^\s)]+)"")"),"https://www.mouser.co.uk/ProductDetail/EPCOS-TDK/B72520T0350K062?qs=dEfas%2FXlABIszF52uu7vrg%3D%3D")</f>
        <v>https://www.mouser.co.uk/ProductDetail/EPCOS-TDK/B72520T0350K062?qs=dEfas%2FXlABIszF52uu7vrg%3D%3D</v>
      </c>
      <c r="E52" s="18" t="str">
        <f ca="1">IFERROR(__xludf.DUMMYFUNCTION("REGEXEXTRACT(BOM_OpenBook!L52, ""(https?://[^\s)]+)"")"),"https://www.mouser.co.uk/ProductDetail/EPCOS-TDK/B72520T0350K062?qs=dEfas%2FXlABIszF52uu7vrg%3D%3D")</f>
        <v>https://www.mouser.co.uk/ProductDetail/EPCOS-TDK/B72520T0350K062?qs=dEfas%2FXlABIszF52uu7vrg%3D%3D</v>
      </c>
      <c r="F52" s="1" t="str">
        <f ca="1">IFERROR(__xludf.DUMMYFUNCTION("REGEXEXTRACT(BOM_OpenBook!AH52, ""(https?://[^\s)]+)"")"),"#N/A")</f>
        <v>#N/A</v>
      </c>
      <c r="G52" s="1" t="str">
        <f ca="1">IFERROR(__xludf.DUMMYFUNCTION("REGEXEXTRACT(BOM_OpenBook!AJ52, ""(https?://[^\s)]+)"")"),"#N/A")</f>
        <v>#N/A</v>
      </c>
    </row>
    <row r="53" spans="1:7" x14ac:dyDescent="0.25">
      <c r="A53" s="1" t="str">
        <f>BOM_OpenBook!A53</f>
        <v>Q1</v>
      </c>
      <c r="B53" s="1" t="str">
        <f>BOM_OpenBook!B53</f>
        <v>20V/4.2A/52mO/1.4W</v>
      </c>
      <c r="C53" s="1" t="str">
        <f>BOM_OpenBook!C53</f>
        <v>ESP32_WROVER_SPARKFUN-DISCRETESEMI_MOSFET_PCH-DMG2305UX-7</v>
      </c>
      <c r="D53" s="18" t="str">
        <f ca="1">IFERROR(__xludf.DUMMYFUNCTION("REGEXEXTRACT(BOM_OpenBook!J53, ""(https?://[^\s)]+)"")"),"https://componentsearchengine.com/part-view/DMG2305UX-7/Diodes%20Incorporated")</f>
        <v>https://componentsearchengine.com/part-view/DMG2305UX-7/Diodes%20Incorporated</v>
      </c>
      <c r="E53" s="1" t="str">
        <f ca="1">IFERROR(__xludf.DUMMYFUNCTION("REGEXEXTRACT(BOM_OpenBook!L53, ""(https?://[^\s)]+)"")"),"#N/A")</f>
        <v>#N/A</v>
      </c>
      <c r="F53" s="1" t="str">
        <f ca="1">IFERROR(__xludf.DUMMYFUNCTION("REGEXEXTRACT(BOM_OpenBook!AH53, ""(https?://[^\s)]+)"")"),"#N/A")</f>
        <v>#N/A</v>
      </c>
      <c r="G53" s="1" t="str">
        <f ca="1">IFERROR(__xludf.DUMMYFUNCTION("REGEXEXTRACT(BOM_OpenBook!AJ53, ""(https?://[^\s)]+)"")"),"#N/A")</f>
        <v>#N/A</v>
      </c>
    </row>
    <row r="54" spans="1:7" x14ac:dyDescent="0.25">
      <c r="A54" s="1" t="str">
        <f>BOM_OpenBook!A54</f>
        <v>Q2</v>
      </c>
      <c r="B54" s="1" t="str">
        <f>BOM_OpenBook!B54</f>
        <v>20V/4.2A/52mO/1.4W</v>
      </c>
      <c r="C54" s="1" t="str">
        <f>BOM_OpenBook!C54</f>
        <v>ESP32_WROVER_SPARKFUN-DISCRETESEMI_MOSFET_PCH-DMG2305UX-7</v>
      </c>
      <c r="D54" s="1" t="str">
        <f ca="1">IFERROR(__xludf.DUMMYFUNCTION("REGEXEXTRACT(BOM_OpenBook!J54, ""(https?://[^\s)]+)"")"),"#N/A")</f>
        <v>#N/A</v>
      </c>
      <c r="E54" s="1" t="str">
        <f ca="1">IFERROR(__xludf.DUMMYFUNCTION("REGEXEXTRACT(BOM_OpenBook!L54, ""(https?://[^\s)]+)"")"),"#N/A")</f>
        <v>#N/A</v>
      </c>
      <c r="F54" s="1" t="str">
        <f ca="1">IFERROR(__xludf.DUMMYFUNCTION("REGEXEXTRACT(BOM_OpenBook!AH54, ""(https?://[^\s)]+)"")"),"#N/A")</f>
        <v>#N/A</v>
      </c>
      <c r="G54" s="1" t="str">
        <f ca="1">IFERROR(__xludf.DUMMYFUNCTION("REGEXEXTRACT(BOM_OpenBook!AJ54, ""(https?://[^\s)]+)"")"),"#N/A")</f>
        <v>#N/A</v>
      </c>
    </row>
    <row r="55" spans="1:7" x14ac:dyDescent="0.25">
      <c r="A55" s="1" t="str">
        <f>BOM_OpenBook!A55</f>
        <v>Q3</v>
      </c>
      <c r="B55" s="1" t="str">
        <f>BOM_OpenBook!B55</f>
        <v>SI1308EDL-T1-GE3</v>
      </c>
      <c r="C55" s="1" t="str">
        <f>BOM_OpenBook!C55</f>
        <v>D8</v>
      </c>
      <c r="D55" s="18" t="str">
        <f ca="1">IFERROR(__xludf.DUMMYFUNCTION("REGEXEXTRACT(BOM_OpenBook!J55, ""(https?://[^\s)]+)"")"),"https://componentsearchengine.com/part-view/SI1308EDL-T1-GE3/Vishay")</f>
        <v>https://componentsearchengine.com/part-view/SI1308EDL-T1-GE3/Vishay</v>
      </c>
      <c r="E55" s="1" t="str">
        <f ca="1">IFERROR(__xludf.DUMMYFUNCTION("REGEXEXTRACT(BOM_OpenBook!L55, ""(https?://[^\s)]+)"")"),"#N/A")</f>
        <v>#N/A</v>
      </c>
      <c r="F55" s="18" t="str">
        <f ca="1">IFERROR(__xludf.DUMMYFUNCTION("REGEXEXTRACT(BOM_OpenBook!AH55, ""(https?://[^\s)]+)"")"),"https://www.snapeda.com/api/url_track_click_mouser/?unipart_id=274603&amp;manufacturer=Vishay")</f>
        <v>https://www.snapeda.com/api/url_track_click_mouser/?unipart_id=274603&amp;manufacturer=Vishay</v>
      </c>
      <c r="G55" s="18" t="str">
        <f ca="1">IFERROR(__xludf.DUMMYFUNCTION("REGEXEXTRACT(BOM_OpenBook!AJ55, ""(https?://[^\s)]+)"")"),"https://www.snapeda.com/parts/SI1308EDL-T1-GE3/Vishay+Siliconix/view-part/?ref=snap")</f>
        <v>https://www.snapeda.com/parts/SI1308EDL-T1-GE3/Vishay+Siliconix/view-part/?ref=snap</v>
      </c>
    </row>
    <row r="56" spans="1:7" x14ac:dyDescent="0.25">
      <c r="A56" s="1" t="str">
        <f>BOM_OpenBook!A56</f>
        <v>R1</v>
      </c>
      <c r="B56" s="1" t="str">
        <f>BOM_OpenBook!B56</f>
        <v>10K</v>
      </c>
      <c r="C56" s="1" t="str">
        <f>BOM_OpenBook!C56</f>
        <v>ESP32_WROVER_EAGLE-LTSPICE_RR0402</v>
      </c>
      <c r="D56" s="1" t="str">
        <f ca="1">IFERROR(__xludf.DUMMYFUNCTION("REGEXEXTRACT(BOM_OpenBook!J56, ""(https?://[^\s)]+)"")"),"#N/A")</f>
        <v>#N/A</v>
      </c>
      <c r="E56" s="1" t="str">
        <f ca="1">IFERROR(__xludf.DUMMYFUNCTION("REGEXEXTRACT(BOM_OpenBook!L56, ""(https?://[^\s)]+)"")"),"#N/A")</f>
        <v>#N/A</v>
      </c>
      <c r="F56" s="1" t="str">
        <f ca="1">IFERROR(__xludf.DUMMYFUNCTION("REGEXEXTRACT(BOM_OpenBook!AH56, ""(https?://[^\s)]+)"")"),"#N/A")</f>
        <v>#N/A</v>
      </c>
      <c r="G56" s="1" t="str">
        <f ca="1">IFERROR(__xludf.DUMMYFUNCTION("REGEXEXTRACT(BOM_OpenBook!AJ56, ""(https?://[^\s)]+)"")"),"#N/A")</f>
        <v>#N/A</v>
      </c>
    </row>
    <row r="57" spans="1:7" x14ac:dyDescent="0.25">
      <c r="A57" s="1" t="str">
        <f>BOM_OpenBook!A57</f>
        <v>R1-PINH</v>
      </c>
      <c r="B57" s="1" t="str">
        <f>BOM_OpenBook!B57</f>
        <v>10K</v>
      </c>
      <c r="C57" s="1" t="str">
        <f>BOM_OpenBook!C57</f>
        <v>ESP32_WROVER_EAGLE-LTSPICE_RR0402</v>
      </c>
      <c r="D57" s="1" t="str">
        <f ca="1">IFERROR(__xludf.DUMMYFUNCTION("REGEXEXTRACT(BOM_OpenBook!J57, ""(https?://[^\s)]+)"")"),"#N/A")</f>
        <v>#N/A</v>
      </c>
      <c r="E57" s="1" t="str">
        <f ca="1">IFERROR(__xludf.DUMMYFUNCTION("REGEXEXTRACT(BOM_OpenBook!L57, ""(https?://[^\s)]+)"")"),"#N/A")</f>
        <v>#N/A</v>
      </c>
      <c r="F57" s="1" t="str">
        <f ca="1">IFERROR(__xludf.DUMMYFUNCTION("REGEXEXTRACT(BOM_OpenBook!AH57, ""(https?://[^\s)]+)"")"),"#N/A")</f>
        <v>#N/A</v>
      </c>
      <c r="G57" s="1" t="str">
        <f ca="1">IFERROR(__xludf.DUMMYFUNCTION("REGEXEXTRACT(BOM_OpenBook!AJ57, ""(https?://[^\s)]+)"")"),"#N/A")</f>
        <v>#N/A</v>
      </c>
    </row>
    <row r="58" spans="1:7" x14ac:dyDescent="0.25">
      <c r="A58" s="1" t="str">
        <f>BOM_OpenBook!A58</f>
        <v>R1-PINH1</v>
      </c>
      <c r="B58" s="1" t="str">
        <f>BOM_OpenBook!B58</f>
        <v>10K</v>
      </c>
      <c r="C58" s="1" t="str">
        <f>BOM_OpenBook!C58</f>
        <v>ESP32_WROVER_EAGLE-LTSPICE_RR0402</v>
      </c>
      <c r="D58" s="1" t="str">
        <f ca="1">IFERROR(__xludf.DUMMYFUNCTION("REGEXEXTRACT(BOM_OpenBook!J58, ""(https?://[^\s)]+)"")"),"#N/A")</f>
        <v>#N/A</v>
      </c>
      <c r="E58" s="1" t="str">
        <f ca="1">IFERROR(__xludf.DUMMYFUNCTION("REGEXEXTRACT(BOM_OpenBook!L58, ""(https?://[^\s)]+)"")"),"#N/A")</f>
        <v>#N/A</v>
      </c>
      <c r="F58" s="1" t="str">
        <f ca="1">IFERROR(__xludf.DUMMYFUNCTION("REGEXEXTRACT(BOM_OpenBook!AH58, ""(https?://[^\s)]+)"")"),"#N/A")</f>
        <v>#N/A</v>
      </c>
      <c r="G58" s="1" t="str">
        <f ca="1">IFERROR(__xludf.DUMMYFUNCTION("REGEXEXTRACT(BOM_OpenBook!AJ58, ""(https?://[^\s)]+)"")"),"#N/A")</f>
        <v>#N/A</v>
      </c>
    </row>
    <row r="59" spans="1:7" x14ac:dyDescent="0.25">
      <c r="A59" s="1" t="str">
        <f>BOM_OpenBook!A59</f>
        <v>R1_BAT</v>
      </c>
      <c r="B59" s="1">
        <f>BOM_OpenBook!B59</f>
        <v>200</v>
      </c>
      <c r="C59" s="1" t="str">
        <f>BOM_OpenBook!C59</f>
        <v>ESP32_WROVER_EAGLE-LTSPICE_RR0402</v>
      </c>
      <c r="D59" s="1" t="str">
        <f ca="1">IFERROR(__xludf.DUMMYFUNCTION("REGEXEXTRACT(BOM_OpenBook!J59, ""(https?://[^\s)]+)"")"),"#N/A")</f>
        <v>#N/A</v>
      </c>
      <c r="E59" s="1" t="str">
        <f ca="1">IFERROR(__xludf.DUMMYFUNCTION("REGEXEXTRACT(BOM_OpenBook!L59, ""(https?://[^\s)]+)"")"),"#N/A")</f>
        <v>#N/A</v>
      </c>
      <c r="F59" s="1" t="str">
        <f ca="1">IFERROR(__xludf.DUMMYFUNCTION("REGEXEXTRACT(BOM_OpenBook!AH59, ""(https?://[^\s)]+)"")"),"#N/A")</f>
        <v>#N/A</v>
      </c>
      <c r="G59" s="1" t="str">
        <f ca="1">IFERROR(__xludf.DUMMYFUNCTION("REGEXEXTRACT(BOM_OpenBook!AJ59, ""(https?://[^\s)]+)"")"),"#N/A")</f>
        <v>#N/A</v>
      </c>
    </row>
    <row r="60" spans="1:7" x14ac:dyDescent="0.25">
      <c r="A60" s="1" t="str">
        <f>BOM_OpenBook!A60</f>
        <v>R1_PWRUSB</v>
      </c>
      <c r="B60" s="1" t="str">
        <f>BOM_OpenBook!B60</f>
        <v>100K</v>
      </c>
      <c r="C60" s="1" t="str">
        <f>BOM_OpenBook!C60</f>
        <v>ESP32_WROVER_EAGLE-LTSPICE_RR0402</v>
      </c>
      <c r="D60" s="1" t="str">
        <f ca="1">IFERROR(__xludf.DUMMYFUNCTION("REGEXEXTRACT(BOM_OpenBook!J60, ""(https?://[^\s)]+)"")"),"#N/A")</f>
        <v>#N/A</v>
      </c>
      <c r="E60" s="1" t="str">
        <f ca="1">IFERROR(__xludf.DUMMYFUNCTION("REGEXEXTRACT(BOM_OpenBook!L60, ""(https?://[^\s)]+)"")"),"#N/A")</f>
        <v>#N/A</v>
      </c>
      <c r="F60" s="1" t="str">
        <f ca="1">IFERROR(__xludf.DUMMYFUNCTION("REGEXEXTRACT(BOM_OpenBook!AH60, ""(https?://[^\s)]+)"")"),"#N/A")</f>
        <v>#N/A</v>
      </c>
      <c r="G60" s="1" t="str">
        <f ca="1">IFERROR(__xludf.DUMMYFUNCTION("REGEXEXTRACT(BOM_OpenBook!AJ60, ""(https?://[^\s)]+)"")"),"#N/A")</f>
        <v>#N/A</v>
      </c>
    </row>
    <row r="61" spans="1:7" x14ac:dyDescent="0.25">
      <c r="A61" s="1" t="str">
        <f>BOM_OpenBook!A61</f>
        <v>R2</v>
      </c>
      <c r="B61" s="1">
        <f>BOM_OpenBook!B61</f>
        <v>2.2000000000000002</v>
      </c>
      <c r="C61" s="1" t="str">
        <f>BOM_OpenBook!C61</f>
        <v>ESP32_WROVER_EAGLE-LTSPICE_RR0402</v>
      </c>
      <c r="D61" s="18" t="str">
        <f ca="1">IFERROR(__xludf.DUMMYFUNCTION("REGEXEXTRACT(BOM_OpenBook!J61, ""(https?://[^\s)]+)"")"),"https://componentsearchengine.com/part-view/R0402%201%25%20100%20K%20(RC0402FR-07100KL")</f>
        <v>https://componentsearchengine.com/part-view/R0402%201%25%20100%20K%20(RC0402FR-07100KL</v>
      </c>
      <c r="E61" s="1" t="str">
        <f ca="1">IFERROR(__xludf.DUMMYFUNCTION("REGEXEXTRACT(BOM_OpenBook!L61, ""(https?://[^\s)]+)"")"),"#N/A")</f>
        <v>#N/A</v>
      </c>
      <c r="F61" s="1" t="str">
        <f ca="1">IFERROR(__xludf.DUMMYFUNCTION("REGEXEXTRACT(BOM_OpenBook!AH61, ""(https?://[^\s)]+)"")"),"#N/A")</f>
        <v>#N/A</v>
      </c>
      <c r="G61" s="1" t="str">
        <f ca="1">IFERROR(__xludf.DUMMYFUNCTION("REGEXEXTRACT(BOM_OpenBook!AJ61, ""(https?://[^\s)]+)"")"),"#N/A")</f>
        <v>#N/A</v>
      </c>
    </row>
    <row r="62" spans="1:7" x14ac:dyDescent="0.25">
      <c r="A62" s="1" t="str">
        <f>BOM_OpenBook!A62</f>
        <v>R2-PINH</v>
      </c>
      <c r="B62" s="1" t="str">
        <f>BOM_OpenBook!B62</f>
        <v>10K</v>
      </c>
      <c r="C62" s="1" t="str">
        <f>BOM_OpenBook!C62</f>
        <v>ESP32_WROVER_EAGLE-LTSPICE_RR0402</v>
      </c>
      <c r="D62" s="1" t="str">
        <f ca="1">IFERROR(__xludf.DUMMYFUNCTION("REGEXEXTRACT(BOM_OpenBook!J62, ""(https?://[^\s)]+)"")"),"#N/A")</f>
        <v>#N/A</v>
      </c>
      <c r="E62" s="1" t="str">
        <f ca="1">IFERROR(__xludf.DUMMYFUNCTION("REGEXEXTRACT(BOM_OpenBook!L62, ""(https?://[^\s)]+)"")"),"#N/A")</f>
        <v>#N/A</v>
      </c>
      <c r="F62" s="1" t="str">
        <f ca="1">IFERROR(__xludf.DUMMYFUNCTION("REGEXEXTRACT(BOM_OpenBook!AH62, ""(https?://[^\s)]+)"")"),"#N/A")</f>
        <v>#N/A</v>
      </c>
      <c r="G62" s="1" t="str">
        <f ca="1">IFERROR(__xludf.DUMMYFUNCTION("REGEXEXTRACT(BOM_OpenBook!AJ62, ""(https?://[^\s)]+)"")"),"#N/A")</f>
        <v>#N/A</v>
      </c>
    </row>
    <row r="63" spans="1:7" x14ac:dyDescent="0.25">
      <c r="A63" s="1" t="str">
        <f>BOM_OpenBook!A63</f>
        <v>R2-PINH1</v>
      </c>
      <c r="B63" s="1" t="str">
        <f>BOM_OpenBook!B63</f>
        <v>10K</v>
      </c>
      <c r="C63" s="1" t="str">
        <f>BOM_OpenBook!C63</f>
        <v>ESP32_WROVER_EAGLE-LTSPICE_RR0402</v>
      </c>
      <c r="D63" s="1" t="str">
        <f ca="1">IFERROR(__xludf.DUMMYFUNCTION("REGEXEXTRACT(BOM_OpenBook!J63, ""(https?://[^\s)]+)"")"),"#N/A")</f>
        <v>#N/A</v>
      </c>
      <c r="E63" s="1" t="str">
        <f ca="1">IFERROR(__xludf.DUMMYFUNCTION("REGEXEXTRACT(BOM_OpenBook!L63, ""(https?://[^\s)]+)"")"),"#N/A")</f>
        <v>#N/A</v>
      </c>
      <c r="F63" s="1" t="str">
        <f ca="1">IFERROR(__xludf.DUMMYFUNCTION("REGEXEXTRACT(BOM_OpenBook!AH63, ""(https?://[^\s)]+)"")"),"#N/A")</f>
        <v>#N/A</v>
      </c>
      <c r="G63" s="1" t="str">
        <f ca="1">IFERROR(__xludf.DUMMYFUNCTION("REGEXEXTRACT(BOM_OpenBook!AJ63, ""(https?://[^\s)]+)"")"),"#N/A")</f>
        <v>#N/A</v>
      </c>
    </row>
    <row r="64" spans="1:7" x14ac:dyDescent="0.25">
      <c r="A64" s="1" t="str">
        <f>BOM_OpenBook!A64</f>
        <v>R2-USB</v>
      </c>
      <c r="B64" s="1" t="str">
        <f>BOM_OpenBook!B64</f>
        <v>5k1</v>
      </c>
      <c r="C64" s="1" t="str">
        <f>BOM_OpenBook!C64</f>
        <v>ESP32_WROVER_EAGLE-LTSPICE_RR0402</v>
      </c>
      <c r="D64" s="1" t="str">
        <f ca="1">IFERROR(__xludf.DUMMYFUNCTION("REGEXEXTRACT(BOM_OpenBook!J64, ""(https?://[^\s)]+)"")"),"#N/A")</f>
        <v>#N/A</v>
      </c>
      <c r="E64" s="1" t="str">
        <f ca="1">IFERROR(__xludf.DUMMYFUNCTION("REGEXEXTRACT(BOM_OpenBook!L64, ""(https?://[^\s)]+)"")"),"#N/A")</f>
        <v>#N/A</v>
      </c>
      <c r="F64" s="1" t="str">
        <f ca="1">IFERROR(__xludf.DUMMYFUNCTION("REGEXEXTRACT(BOM_OpenBook!AH64, ""(https?://[^\s)]+)"")"),"#N/A")</f>
        <v>#N/A</v>
      </c>
      <c r="G64" s="1" t="str">
        <f ca="1">IFERROR(__xludf.DUMMYFUNCTION("REGEXEXTRACT(BOM_OpenBook!AJ64, ""(https?://[^\s)]+)"")"),"#N/A")</f>
        <v>#N/A</v>
      </c>
    </row>
    <row r="65" spans="1:7" x14ac:dyDescent="0.25">
      <c r="A65" s="1" t="str">
        <f>BOM_OpenBook!A65</f>
        <v>R2-USB1</v>
      </c>
      <c r="B65" s="1" t="str">
        <f>BOM_OpenBook!B65</f>
        <v>5k1</v>
      </c>
      <c r="C65" s="1" t="str">
        <f>BOM_OpenBook!C65</f>
        <v>ESP32_WROVER_EAGLE-LTSPICE_RR0402</v>
      </c>
      <c r="D65" s="1" t="str">
        <f ca="1">IFERROR(__xludf.DUMMYFUNCTION("REGEXEXTRACT(BOM_OpenBook!J65, ""(https?://[^\s)]+)"")"),"#N/A")</f>
        <v>#N/A</v>
      </c>
      <c r="E65" s="1" t="str">
        <f ca="1">IFERROR(__xludf.DUMMYFUNCTION("REGEXEXTRACT(BOM_OpenBook!L65, ""(https?://[^\s)]+)"")"),"#N/A")</f>
        <v>#N/A</v>
      </c>
      <c r="F65" s="1" t="str">
        <f ca="1">IFERROR(__xludf.DUMMYFUNCTION("REGEXEXTRACT(BOM_OpenBook!AH65, ""(https?://[^\s)]+)"")"),"#N/A")</f>
        <v>#N/A</v>
      </c>
      <c r="G65" s="1" t="str">
        <f ca="1">IFERROR(__xludf.DUMMYFUNCTION("REGEXEXTRACT(BOM_OpenBook!AJ65, ""(https?://[^\s)]+)"")"),"#N/A")</f>
        <v>#N/A</v>
      </c>
    </row>
    <row r="66" spans="1:7" x14ac:dyDescent="0.25">
      <c r="A66" s="1" t="str">
        <f>BOM_OpenBook!A66</f>
        <v>R2_BAT</v>
      </c>
      <c r="B66" s="1" t="str">
        <f>BOM_OpenBook!B66</f>
        <v>2K</v>
      </c>
      <c r="C66" s="1" t="str">
        <f>BOM_OpenBook!C66</f>
        <v>ESP32_WROVER_EAGLE-LTSPICE_RR0402</v>
      </c>
      <c r="D66" s="1" t="str">
        <f ca="1">IFERROR(__xludf.DUMMYFUNCTION("REGEXEXTRACT(BOM_OpenBook!J66, ""(https?://[^\s)]+)"")"),"#N/A")</f>
        <v>#N/A</v>
      </c>
      <c r="E66" s="1" t="str">
        <f ca="1">IFERROR(__xludf.DUMMYFUNCTION("REGEXEXTRACT(BOM_OpenBook!L66, ""(https?://[^\s)]+)"")"),"#N/A")</f>
        <v>#N/A</v>
      </c>
      <c r="F66" s="1" t="str">
        <f ca="1">IFERROR(__xludf.DUMMYFUNCTION("REGEXEXTRACT(BOM_OpenBook!AH66, ""(https?://[^\s)]+)"")"),"#N/A")</f>
        <v>#N/A</v>
      </c>
      <c r="G66" s="1" t="str">
        <f ca="1">IFERROR(__xludf.DUMMYFUNCTION("REGEXEXTRACT(BOM_OpenBook!AJ66, ""(https?://[^\s)]+)"")"),"#N/A")</f>
        <v>#N/A</v>
      </c>
    </row>
    <row r="67" spans="1:7" x14ac:dyDescent="0.25">
      <c r="A67" s="1" t="str">
        <f>BOM_OpenBook!A67</f>
        <v>R3</v>
      </c>
      <c r="B67" s="1" t="str">
        <f>BOM_OpenBook!B67</f>
        <v>10K</v>
      </c>
      <c r="C67" s="1" t="str">
        <f>BOM_OpenBook!C67</f>
        <v>ESP32_WROVER_EAGLE-LTSPICE_RR0402</v>
      </c>
      <c r="D67" s="1" t="str">
        <f ca="1">IFERROR(__xludf.DUMMYFUNCTION("REGEXEXTRACT(BOM_OpenBook!J67, ""(https?://[^\s)]+)"")"),"#N/A")</f>
        <v>#N/A</v>
      </c>
      <c r="E67" s="1" t="str">
        <f ca="1">IFERROR(__xludf.DUMMYFUNCTION("REGEXEXTRACT(BOM_OpenBook!L67, ""(https?://[^\s)]+)"")"),"#N/A")</f>
        <v>#N/A</v>
      </c>
      <c r="F67" s="1" t="str">
        <f ca="1">IFERROR(__xludf.DUMMYFUNCTION("REGEXEXTRACT(BOM_OpenBook!AH67, ""(https?://[^\s)]+)"")"),"#N/A")</f>
        <v>#N/A</v>
      </c>
      <c r="G67" s="1" t="str">
        <f ca="1">IFERROR(__xludf.DUMMYFUNCTION("REGEXEXTRACT(BOM_OpenBook!AJ67, ""(https?://[^\s)]+)"")"),"#N/A")</f>
        <v>#N/A</v>
      </c>
    </row>
    <row r="68" spans="1:7" x14ac:dyDescent="0.25">
      <c r="A68" s="1" t="str">
        <f>BOM_OpenBook!A68</f>
        <v>R4</v>
      </c>
      <c r="B68" s="1" t="str">
        <f>BOM_OpenBook!B68</f>
        <v>10K</v>
      </c>
      <c r="C68" s="1" t="str">
        <f>BOM_OpenBook!C68</f>
        <v>ESP32_WROVER_EAGLE-LTSPICE_RR0402</v>
      </c>
      <c r="D68" s="1" t="str">
        <f ca="1">IFERROR(__xludf.DUMMYFUNCTION("REGEXEXTRACT(BOM_OpenBook!J68, ""(https?://[^\s)]+)"")"),"#N/A")</f>
        <v>#N/A</v>
      </c>
      <c r="E68" s="1" t="str">
        <f ca="1">IFERROR(__xludf.DUMMYFUNCTION("REGEXEXTRACT(BOM_OpenBook!L68, ""(https?://[^\s)]+)"")"),"#N/A")</f>
        <v>#N/A</v>
      </c>
      <c r="F68" s="1" t="str">
        <f ca="1">IFERROR(__xludf.DUMMYFUNCTION("REGEXEXTRACT(BOM_OpenBook!AH68, ""(https?://[^\s)]+)"")"),"#N/A")</f>
        <v>#N/A</v>
      </c>
      <c r="G68" s="1" t="str">
        <f ca="1">IFERROR(__xludf.DUMMYFUNCTION("REGEXEXTRACT(BOM_OpenBook!AJ68, ""(https?://[^\s)]+)"")"),"#N/A")</f>
        <v>#N/A</v>
      </c>
    </row>
    <row r="69" spans="1:7" x14ac:dyDescent="0.25">
      <c r="A69" s="1" t="str">
        <f>BOM_OpenBook!A69</f>
        <v>R5</v>
      </c>
      <c r="B69" s="1" t="str">
        <f>BOM_OpenBook!B69</f>
        <v>10K</v>
      </c>
      <c r="C69" s="1" t="str">
        <f>BOM_OpenBook!C69</f>
        <v>ESP32_WROVER_EAGLE-LTSPICE_RR0402</v>
      </c>
      <c r="D69" s="1" t="str">
        <f ca="1">IFERROR(__xludf.DUMMYFUNCTION("REGEXEXTRACT(BOM_OpenBook!J69, ""(https?://[^\s)]+)"")"),"#N/A")</f>
        <v>#N/A</v>
      </c>
      <c r="E69" s="1" t="str">
        <f ca="1">IFERROR(__xludf.DUMMYFUNCTION("REGEXEXTRACT(BOM_OpenBook!L69, ""(https?://[^\s)]+)"")"),"#N/A")</f>
        <v>#N/A</v>
      </c>
      <c r="F69" s="1" t="str">
        <f ca="1">IFERROR(__xludf.DUMMYFUNCTION("REGEXEXTRACT(BOM_OpenBook!AH69, ""(https?://[^\s)]+)"")"),"#N/A")</f>
        <v>#N/A</v>
      </c>
      <c r="G69" s="1" t="str">
        <f ca="1">IFERROR(__xludf.DUMMYFUNCTION("REGEXEXTRACT(BOM_OpenBook!AJ69, ""(https?://[^\s)]+)"")"),"#N/A")</f>
        <v>#N/A</v>
      </c>
    </row>
    <row r="70" spans="1:7" x14ac:dyDescent="0.25">
      <c r="A70" s="1" t="str">
        <f>BOM_OpenBook!A70</f>
        <v>R6</v>
      </c>
      <c r="B70" s="1" t="str">
        <f>BOM_OpenBook!B70</f>
        <v>10K</v>
      </c>
      <c r="C70" s="1" t="str">
        <f>BOM_OpenBook!C70</f>
        <v>ESP32_WROVER_EAGLE-LTSPICE_RR0402</v>
      </c>
      <c r="D70" s="1" t="str">
        <f ca="1">IFERROR(__xludf.DUMMYFUNCTION("REGEXEXTRACT(BOM_OpenBook!J70, ""(https?://[^\s)]+)"")"),"#N/A")</f>
        <v>#N/A</v>
      </c>
      <c r="E70" s="1" t="str">
        <f ca="1">IFERROR(__xludf.DUMMYFUNCTION("REGEXEXTRACT(BOM_OpenBook!L70, ""(https?://[^\s)]+)"")"),"#N/A")</f>
        <v>#N/A</v>
      </c>
      <c r="F70" s="1" t="str">
        <f ca="1">IFERROR(__xludf.DUMMYFUNCTION("REGEXEXTRACT(BOM_OpenBook!AH70, ""(https?://[^\s)]+)"")"),"#N/A")</f>
        <v>#N/A</v>
      </c>
      <c r="G70" s="1" t="str">
        <f ca="1">IFERROR(__xludf.DUMMYFUNCTION("REGEXEXTRACT(BOM_OpenBook!AJ70, ""(https?://[^\s)]+)"")"),"#N/A")</f>
        <v>#N/A</v>
      </c>
    </row>
    <row r="71" spans="1:7" x14ac:dyDescent="0.25">
      <c r="A71" s="1" t="str">
        <f>BOM_OpenBook!A71</f>
        <v>R7</v>
      </c>
      <c r="B71" s="1" t="str">
        <f>BOM_OpenBook!B71</f>
        <v>10K</v>
      </c>
      <c r="C71" s="1" t="str">
        <f>BOM_OpenBook!C71</f>
        <v>ESP32_WROVER_EAGLE-LTSPICE_RR0402</v>
      </c>
      <c r="D71" s="1" t="str">
        <f ca="1">IFERROR(__xludf.DUMMYFUNCTION("REGEXEXTRACT(BOM_OpenBook!J71, ""(https?://[^\s)]+)"")"),"#N/A")</f>
        <v>#N/A</v>
      </c>
      <c r="E71" s="1" t="str">
        <f ca="1">IFERROR(__xludf.DUMMYFUNCTION("REGEXEXTRACT(BOM_OpenBook!L71, ""(https?://[^\s)]+)"")"),"#N/A")</f>
        <v>#N/A</v>
      </c>
      <c r="F71" s="1" t="str">
        <f ca="1">IFERROR(__xludf.DUMMYFUNCTION("REGEXEXTRACT(BOM_OpenBook!AH71, ""(https?://[^\s)]+)"")"),"#N/A")</f>
        <v>#N/A</v>
      </c>
      <c r="G71" s="1" t="str">
        <f ca="1">IFERROR(__xludf.DUMMYFUNCTION("REGEXEXTRACT(BOM_OpenBook!AJ71, ""(https?://[^\s)]+)"")"),"#N/A")</f>
        <v>#N/A</v>
      </c>
    </row>
    <row r="72" spans="1:7" x14ac:dyDescent="0.25">
      <c r="A72" s="1" t="str">
        <f>BOM_OpenBook!A72</f>
        <v>R8</v>
      </c>
      <c r="B72" s="1" t="str">
        <f>BOM_OpenBook!B72</f>
        <v>10K</v>
      </c>
      <c r="C72" s="1" t="str">
        <f>BOM_OpenBook!C72</f>
        <v>ESP32_WROVER_EAGLE-LTSPICE_RR0402</v>
      </c>
      <c r="D72" s="1" t="str">
        <f ca="1">IFERROR(__xludf.DUMMYFUNCTION("REGEXEXTRACT(BOM_OpenBook!J72, ""(https?://[^\s)]+)"")"),"#N/A")</f>
        <v>#N/A</v>
      </c>
      <c r="E72" s="1" t="str">
        <f ca="1">IFERROR(__xludf.DUMMYFUNCTION("REGEXEXTRACT(BOM_OpenBook!L72, ""(https?://[^\s)]+)"")"),"#N/A")</f>
        <v>#N/A</v>
      </c>
      <c r="F72" s="1" t="str">
        <f ca="1">IFERROR(__xludf.DUMMYFUNCTION("REGEXEXTRACT(BOM_OpenBook!AH72, ""(https?://[^\s)]+)"")"),"#N/A")</f>
        <v>#N/A</v>
      </c>
      <c r="G72" s="1" t="str">
        <f ca="1">IFERROR(__xludf.DUMMYFUNCTION("REGEXEXTRACT(BOM_OpenBook!AJ72, ""(https?://[^\s)]+)"")"),"#N/A")</f>
        <v>#N/A</v>
      </c>
    </row>
    <row r="73" spans="1:7" x14ac:dyDescent="0.25">
      <c r="A73" s="1" t="str">
        <f>BOM_OpenBook!A73</f>
        <v>R9</v>
      </c>
      <c r="B73" s="1" t="str">
        <f>BOM_OpenBook!B73</f>
        <v>10K</v>
      </c>
      <c r="C73" s="1" t="str">
        <f>BOM_OpenBook!C73</f>
        <v>ESP32_WROVER_EAGLE-LTSPICE_RR0402</v>
      </c>
      <c r="D73" s="1" t="str">
        <f ca="1">IFERROR(__xludf.DUMMYFUNCTION("REGEXEXTRACT(BOM_OpenBook!J73, ""(https?://[^\s)]+)"")"),"#N/A")</f>
        <v>#N/A</v>
      </c>
      <c r="E73" s="1" t="str">
        <f ca="1">IFERROR(__xludf.DUMMYFUNCTION("REGEXEXTRACT(BOM_OpenBook!L73, ""(https?://[^\s)]+)"")"),"#N/A")</f>
        <v>#N/A</v>
      </c>
      <c r="F73" s="1" t="str">
        <f ca="1">IFERROR(__xludf.DUMMYFUNCTION("REGEXEXTRACT(BOM_OpenBook!AH73, ""(https?://[^\s)]+)"")"),"#N/A")</f>
        <v>#N/A</v>
      </c>
      <c r="G73" s="1" t="str">
        <f ca="1">IFERROR(__xludf.DUMMYFUNCTION("REGEXEXTRACT(BOM_OpenBook!AJ73, ""(https?://[^\s)]+)"")"),"#N/A")</f>
        <v>#N/A</v>
      </c>
    </row>
    <row r="74" spans="1:7" x14ac:dyDescent="0.25">
      <c r="A74" s="1" t="str">
        <f>BOM_OpenBook!A74</f>
        <v>R10</v>
      </c>
      <c r="B74" s="1" t="str">
        <f>BOM_OpenBook!B74</f>
        <v>10K</v>
      </c>
      <c r="C74" s="1" t="str">
        <f>BOM_OpenBook!C74</f>
        <v>ESP32_WROVER_EAGLE-LTSPICE_RR0402</v>
      </c>
      <c r="D74" s="1" t="str">
        <f ca="1">IFERROR(__xludf.DUMMYFUNCTION("REGEXEXTRACT(BOM_OpenBook!J74, ""(https?://[^\s)]+)"")"),"#N/A")</f>
        <v>#N/A</v>
      </c>
      <c r="E74" s="1" t="str">
        <f ca="1">IFERROR(__xludf.DUMMYFUNCTION("REGEXEXTRACT(BOM_OpenBook!L74, ""(https?://[^\s)]+)"")"),"#N/A")</f>
        <v>#N/A</v>
      </c>
      <c r="F74" s="1" t="str">
        <f ca="1">IFERROR(__xludf.DUMMYFUNCTION("REGEXEXTRACT(BOM_OpenBook!AH74, ""(https?://[^\s)]+)"")"),"#N/A")</f>
        <v>#N/A</v>
      </c>
      <c r="G74" s="1" t="str">
        <f ca="1">IFERROR(__xludf.DUMMYFUNCTION("REGEXEXTRACT(BOM_OpenBook!AJ74, ""(https?://[^\s)]+)"")"),"#N/A")</f>
        <v>#N/A</v>
      </c>
    </row>
    <row r="75" spans="1:7" x14ac:dyDescent="0.25">
      <c r="A75" s="1" t="str">
        <f>BOM_OpenBook!A75</f>
        <v>RESET_BUTTON</v>
      </c>
      <c r="B75" s="1" t="str">
        <f>BOM_OpenBook!B75</f>
        <v>BUTTON_CUSYOMV1</v>
      </c>
      <c r="C75" s="1" t="str">
        <f>BOM_OpenBook!C75</f>
        <v>BUTTON_CUSYOMV1</v>
      </c>
      <c r="D75" s="18" t="str">
        <f ca="1">IFERROR(__xludf.DUMMYFUNCTION("REGEXEXTRACT(BOM_OpenBook!J75, ""(https?://[^\s)]+)"")"),"https://industry.panasonic.com/global/en/products/control/switch/light-touch/number/evqpuj02k")</f>
        <v>https://industry.panasonic.com/global/en/products/control/switch/light-touch/number/evqpuj02k</v>
      </c>
      <c r="E75" s="1" t="str">
        <f ca="1">IFERROR(__xludf.DUMMYFUNCTION("REGEXEXTRACT(BOM_OpenBook!L75, ""(https?://[^\s)]+)"")"),"#N/A")</f>
        <v>#N/A</v>
      </c>
      <c r="F75" s="1" t="str">
        <f ca="1">IFERROR(__xludf.DUMMYFUNCTION("REGEXEXTRACT(BOM_OpenBook!AH75, ""(https?://[^\s)]+)"")"),"#N/A")</f>
        <v>#N/A</v>
      </c>
      <c r="G75" s="1" t="str">
        <f ca="1">IFERROR(__xludf.DUMMYFUNCTION("REGEXEXTRACT(BOM_OpenBook!AJ75, ""(https?://[^\s)]+)"")"),"#N/A")</f>
        <v>#N/A</v>
      </c>
    </row>
    <row r="76" spans="1:7" x14ac:dyDescent="0.25">
      <c r="A76" s="1" t="str">
        <f>BOM_OpenBook!A76</f>
        <v>R_BOOT</v>
      </c>
      <c r="B76" s="1" t="str">
        <f>BOM_OpenBook!B76</f>
        <v>10K</v>
      </c>
      <c r="C76" s="1" t="str">
        <f>BOM_OpenBook!C76</f>
        <v>ESP32_WROVER_EAGLE-LTSPICE_RR0402</v>
      </c>
      <c r="D76" s="1" t="str">
        <f ca="1">IFERROR(__xludf.DUMMYFUNCTION("REGEXEXTRACT(BOM_OpenBook!J76, ""(https?://[^\s)]+)"")"),"#N/A")</f>
        <v>#N/A</v>
      </c>
      <c r="E76" s="1" t="str">
        <f ca="1">IFERROR(__xludf.DUMMYFUNCTION("REGEXEXTRACT(BOM_OpenBook!L76, ""(https?://[^\s)]+)"")"),"#N/A")</f>
        <v>#N/A</v>
      </c>
      <c r="F76" s="1" t="str">
        <f ca="1">IFERROR(__xludf.DUMMYFUNCTION("REGEXEXTRACT(BOM_OpenBook!AH76, ""(https?://[^\s)]+)"")"),"#N/A")</f>
        <v>#N/A</v>
      </c>
      <c r="G76" s="1" t="str">
        <f ca="1">IFERROR(__xludf.DUMMYFUNCTION("REGEXEXTRACT(BOM_OpenBook!AJ76, ""(https?://[^\s)]+)"")"),"#N/A")</f>
        <v>#N/A</v>
      </c>
    </row>
    <row r="77" spans="1:7" x14ac:dyDescent="0.25">
      <c r="A77" s="1" t="str">
        <f>BOM_OpenBook!A77</f>
        <v>R_CAPACITOR</v>
      </c>
      <c r="B77" s="1">
        <f>BOM_OpenBook!B77</f>
        <v>15</v>
      </c>
      <c r="C77" s="1" t="str">
        <f>BOM_OpenBook!C77</f>
        <v>ESP32_WROVER_EAGLE-LTSPICE_RR0402</v>
      </c>
      <c r="D77" s="1" t="str">
        <f ca="1">IFERROR(__xludf.DUMMYFUNCTION("REGEXEXTRACT(BOM_OpenBook!J77, ""(https?://[^\s)]+)"")"),"#N/A")</f>
        <v>#N/A</v>
      </c>
      <c r="E77" s="1" t="str">
        <f ca="1">IFERROR(__xludf.DUMMYFUNCTION("REGEXEXTRACT(BOM_OpenBook!L77, ""(https?://[^\s)]+)"")"),"#N/A")</f>
        <v>#N/A</v>
      </c>
      <c r="F77" s="1" t="str">
        <f ca="1">IFERROR(__xludf.DUMMYFUNCTION("REGEXEXTRACT(BOM_OpenBook!AH77, ""(https?://[^\s)]+)"")"),"#N/A")</f>
        <v>#N/A</v>
      </c>
      <c r="G77" s="1" t="str">
        <f ca="1">IFERROR(__xludf.DUMMYFUNCTION("REGEXEXTRACT(BOM_OpenBook!AJ77, ""(https?://[^\s)]+)"")"),"#N/A")</f>
        <v>#N/A</v>
      </c>
    </row>
    <row r="78" spans="1:7" x14ac:dyDescent="0.25">
      <c r="A78" s="1" t="str">
        <f>BOM_OpenBook!A78</f>
        <v>R_CHANGE</v>
      </c>
      <c r="B78" s="1" t="str">
        <f>BOM_OpenBook!B78</f>
        <v>10K</v>
      </c>
      <c r="C78" s="1" t="str">
        <f>BOM_OpenBook!C78</f>
        <v>ESP32_WROVER_EAGLE-LTSPICE_RR0402</v>
      </c>
      <c r="D78" s="1" t="str">
        <f ca="1">IFERROR(__xludf.DUMMYFUNCTION("REGEXEXTRACT(BOM_OpenBook!J78, ""(https?://[^\s)]+)"")"),"#N/A")</f>
        <v>#N/A</v>
      </c>
      <c r="E78" s="1" t="str">
        <f ca="1">IFERROR(__xludf.DUMMYFUNCTION("REGEXEXTRACT(BOM_OpenBook!L78, ""(https?://[^\s)]+)"")"),"#N/A")</f>
        <v>#N/A</v>
      </c>
      <c r="F78" s="1" t="str">
        <f ca="1">IFERROR(__xludf.DUMMYFUNCTION("REGEXEXTRACT(BOM_OpenBook!AH78, ""(https?://[^\s)]+)"")"),"#N/A")</f>
        <v>#N/A</v>
      </c>
      <c r="G78" s="1" t="str">
        <f ca="1">IFERROR(__xludf.DUMMYFUNCTION("REGEXEXTRACT(BOM_OpenBook!AJ78, ""(https?://[^\s)]+)"")"),"#N/A")</f>
        <v>#N/A</v>
      </c>
    </row>
    <row r="79" spans="1:7" x14ac:dyDescent="0.25">
      <c r="A79" s="1" t="str">
        <f>BOM_OpenBook!A79</f>
        <v>R_CL1</v>
      </c>
      <c r="B79" s="1" t="str">
        <f>BOM_OpenBook!B79</f>
        <v>10K</v>
      </c>
      <c r="C79" s="1" t="str">
        <f>BOM_OpenBook!C79</f>
        <v>ESP32_WROVER_EAGLE-LTSPICE_RR0402</v>
      </c>
      <c r="D79" s="1" t="str">
        <f ca="1">IFERROR(__xludf.DUMMYFUNCTION("REGEXEXTRACT(BOM_OpenBook!J79, ""(https?://[^\s)]+)"")"),"#N/A")</f>
        <v>#N/A</v>
      </c>
      <c r="E79" s="1" t="str">
        <f ca="1">IFERROR(__xludf.DUMMYFUNCTION("REGEXEXTRACT(BOM_OpenBook!L79, ""(https?://[^\s)]+)"")"),"#N/A")</f>
        <v>#N/A</v>
      </c>
      <c r="F79" s="1" t="str">
        <f ca="1">IFERROR(__xludf.DUMMYFUNCTION("REGEXEXTRACT(BOM_OpenBook!AH79, ""(https?://[^\s)]+)"")"),"#N/A")</f>
        <v>#N/A</v>
      </c>
      <c r="G79" s="1" t="str">
        <f ca="1">IFERROR(__xludf.DUMMYFUNCTION("REGEXEXTRACT(BOM_OpenBook!AJ79, ""(https?://[^\s)]+)"")"),"#N/A")</f>
        <v>#N/A</v>
      </c>
    </row>
    <row r="80" spans="1:7" x14ac:dyDescent="0.25">
      <c r="A80" s="1" t="str">
        <f>BOM_OpenBook!A80</f>
        <v>R_RESET</v>
      </c>
      <c r="B80" s="1" t="str">
        <f>BOM_OpenBook!B80</f>
        <v>10K</v>
      </c>
      <c r="C80" s="1" t="str">
        <f>BOM_OpenBook!C80</f>
        <v>ESP32_WROVER_EAGLE-LTSPICE_RR0402</v>
      </c>
      <c r="D80" s="1" t="str">
        <f ca="1">IFERROR(__xludf.DUMMYFUNCTION("REGEXEXTRACT(BOM_OpenBook!J80, ""(https?://[^\s)]+)"")"),"#N/A")</f>
        <v>#N/A</v>
      </c>
      <c r="E80" s="1" t="str">
        <f ca="1">IFERROR(__xludf.DUMMYFUNCTION("REGEXEXTRACT(BOM_OpenBook!L80, ""(https?://[^\s)]+)"")"),"#N/A")</f>
        <v>#N/A</v>
      </c>
      <c r="F80" s="1" t="str">
        <f ca="1">IFERROR(__xludf.DUMMYFUNCTION("REGEXEXTRACT(BOM_OpenBook!AH80, ""(https?://[^\s)]+)"")"),"#N/A")</f>
        <v>#N/A</v>
      </c>
      <c r="G80" s="1" t="str">
        <f ca="1">IFERROR(__xludf.DUMMYFUNCTION("REGEXEXTRACT(BOM_OpenBook!AJ80, ""(https?://[^\s)]+)"")"),"#N/A")</f>
        <v>#N/A</v>
      </c>
    </row>
    <row r="81" spans="1:7" x14ac:dyDescent="0.25">
      <c r="A81" s="1" t="str">
        <f>BOM_OpenBook!A81</f>
        <v>SENSOR2</v>
      </c>
      <c r="B81" s="1" t="str">
        <f>BOM_OpenBook!B81</f>
        <v>ESP32_WROVER_BME680_BME680</v>
      </c>
      <c r="C81" s="1" t="str">
        <f>BOM_OpenBook!C81</f>
        <v>ESP32_WROVER_BME680_BME680</v>
      </c>
      <c r="D81" s="18" t="str">
        <f ca="1">IFERROR(__xludf.DUMMYFUNCTION("REGEXEXTRACT(BOM_OpenBook!J81, ""(https?://[^\s)]+)"")"),"https://www.snapeda.com/parts/BME680/Bosch/view-part/?welcome=home")</f>
        <v>https://www.snapeda.com/parts/BME680/Bosch/view-part/?welcome=home</v>
      </c>
      <c r="E81" s="1" t="str">
        <f ca="1">IFERROR(__xludf.DUMMYFUNCTION("REGEXEXTRACT(BOM_OpenBook!L81, ""(https?://[^\s)]+)"")"),"#N/A")</f>
        <v>#N/A</v>
      </c>
      <c r="F81" s="1" t="str">
        <f ca="1">IFERROR(__xludf.DUMMYFUNCTION("REGEXEXTRACT(BOM_OpenBook!AH81, ""(https?://[^\s)]+)"")"),"#N/A")</f>
        <v>#N/A</v>
      </c>
      <c r="G81" s="1" t="str">
        <f ca="1">IFERROR(__xludf.DUMMYFUNCTION("REGEXEXTRACT(BOM_OpenBook!AJ81, ""(https?://[^\s)]+)"")"),"#N/A")</f>
        <v>#N/A</v>
      </c>
    </row>
    <row r="82" spans="1:7" x14ac:dyDescent="0.25">
      <c r="A82" s="1" t="str">
        <f>BOM_OpenBook!A82</f>
        <v>SJ1</v>
      </c>
      <c r="B82" s="1">
        <f>BOM_OpenBook!B82</f>
        <v>0</v>
      </c>
      <c r="C82" s="1" t="str">
        <f>BOM_OpenBook!C82</f>
        <v>SJ</v>
      </c>
      <c r="D82" s="18" t="str">
        <f ca="1">IFERROR(__xludf.DUMMYFUNCTION("REGEXEXTRACT(BOM_OpenBook!J82, ""(https?://[^\s)]+)"")"),"https://grabcad.com/library/solder-jumpers-1")</f>
        <v>https://grabcad.com/library/solder-jumpers-1</v>
      </c>
      <c r="E82" s="1" t="str">
        <f ca="1">IFERROR(__xludf.DUMMYFUNCTION("REGEXEXTRACT(BOM_OpenBook!L82, ""(https?://[^\s)]+)"")"),"#N/A")</f>
        <v>#N/A</v>
      </c>
      <c r="F82" s="1" t="str">
        <f ca="1">IFERROR(__xludf.DUMMYFUNCTION("REGEXEXTRACT(BOM_OpenBook!AH82, ""(https?://[^\s)]+)"")"),"#N/A")</f>
        <v>#N/A</v>
      </c>
      <c r="G82" s="1" t="str">
        <f ca="1">IFERROR(__xludf.DUMMYFUNCTION("REGEXEXTRACT(BOM_OpenBook!AJ82, ""(https?://[^\s)]+)"")"),"#N/A")</f>
        <v>#N/A</v>
      </c>
    </row>
    <row r="83" spans="1:7" x14ac:dyDescent="0.25">
      <c r="A83" s="1" t="str">
        <f>BOM_OpenBook!A83</f>
        <v>TP1</v>
      </c>
      <c r="B83" s="1" t="str">
        <f>BOM_OpenBook!B83</f>
        <v>TPTP20R</v>
      </c>
      <c r="C83" s="1" t="str">
        <f>BOM_OpenBook!C83</f>
        <v>TPTP20R</v>
      </c>
      <c r="D83" s="1" t="str">
        <f ca="1">IFERROR(__xludf.DUMMYFUNCTION("REGEXEXTRACT(BOM_OpenBook!J83, ""(https?://[^\s)]+)"")"),"#N/A")</f>
        <v>#N/A</v>
      </c>
      <c r="E83" s="1" t="str">
        <f ca="1">IFERROR(__xludf.DUMMYFUNCTION("REGEXEXTRACT(BOM_OpenBook!L83, ""(https?://[^\s)]+)"")"),"#N/A")</f>
        <v>#N/A</v>
      </c>
      <c r="F83" s="1" t="str">
        <f ca="1">IFERROR(__xludf.DUMMYFUNCTION("REGEXEXTRACT(BOM_OpenBook!AH83, ""(https?://[^\s)]+)"")"),"#N/A")</f>
        <v>#N/A</v>
      </c>
      <c r="G83" s="1" t="str">
        <f ca="1">IFERROR(__xludf.DUMMYFUNCTION("REGEXEXTRACT(BOM_OpenBook!AJ83, ""(https?://[^\s)]+)"")"),"#N/A")</f>
        <v>#N/A</v>
      </c>
    </row>
    <row r="84" spans="1:7" x14ac:dyDescent="0.25">
      <c r="A84" s="1" t="str">
        <f>BOM_OpenBook!A84</f>
        <v>TP2</v>
      </c>
      <c r="B84" s="1" t="str">
        <f>BOM_OpenBook!B84</f>
        <v>TPTP20R</v>
      </c>
      <c r="C84" s="1" t="str">
        <f>BOM_OpenBook!C84</f>
        <v>TPTP20R</v>
      </c>
      <c r="D84" s="1" t="str">
        <f ca="1">IFERROR(__xludf.DUMMYFUNCTION("REGEXEXTRACT(BOM_OpenBook!J84, ""(https?://[^\s)]+)"")"),"#N/A")</f>
        <v>#N/A</v>
      </c>
      <c r="E84" s="1" t="str">
        <f ca="1">IFERROR(__xludf.DUMMYFUNCTION("REGEXEXTRACT(BOM_OpenBook!L84, ""(https?://[^\s)]+)"")"),"#N/A")</f>
        <v>#N/A</v>
      </c>
      <c r="F84" s="1" t="str">
        <f ca="1">IFERROR(__xludf.DUMMYFUNCTION("REGEXEXTRACT(BOM_OpenBook!AH84, ""(https?://[^\s)]+)"")"),"#N/A")</f>
        <v>#N/A</v>
      </c>
      <c r="G84" s="1" t="str">
        <f ca="1">IFERROR(__xludf.DUMMYFUNCTION("REGEXEXTRACT(BOM_OpenBook!AJ84, ""(https?://[^\s)]+)"")"),"#N/A")</f>
        <v>#N/A</v>
      </c>
    </row>
    <row r="85" spans="1:7" x14ac:dyDescent="0.25">
      <c r="A85" s="1" t="str">
        <f>BOM_OpenBook!A85</f>
        <v>TP3</v>
      </c>
      <c r="B85" s="1" t="str">
        <f>BOM_OpenBook!B85</f>
        <v>TPTP20R</v>
      </c>
      <c r="C85" s="1" t="str">
        <f>BOM_OpenBook!C85</f>
        <v>TPTP20R</v>
      </c>
      <c r="D85" s="1" t="str">
        <f ca="1">IFERROR(__xludf.DUMMYFUNCTION("REGEXEXTRACT(BOM_OpenBook!J85, ""(https?://[^\s)]+)"")"),"#N/A")</f>
        <v>#N/A</v>
      </c>
      <c r="E85" s="1" t="str">
        <f ca="1">IFERROR(__xludf.DUMMYFUNCTION("REGEXEXTRACT(BOM_OpenBook!L85, ""(https?://[^\s)]+)"")"),"#N/A")</f>
        <v>#N/A</v>
      </c>
      <c r="F85" s="1" t="str">
        <f ca="1">IFERROR(__xludf.DUMMYFUNCTION("REGEXEXTRACT(BOM_OpenBook!AH85, ""(https?://[^\s)]+)"")"),"#N/A")</f>
        <v>#N/A</v>
      </c>
      <c r="G85" s="1" t="str">
        <f ca="1">IFERROR(__xludf.DUMMYFUNCTION("REGEXEXTRACT(BOM_OpenBook!AJ85, ""(https?://[^\s)]+)"")"),"#N/A")</f>
        <v>#N/A</v>
      </c>
    </row>
    <row r="86" spans="1:7" x14ac:dyDescent="0.25">
      <c r="A86" s="1" t="str">
        <f>BOM_OpenBook!A86</f>
        <v>TP4</v>
      </c>
      <c r="B86" s="1" t="str">
        <f>BOM_OpenBook!B86</f>
        <v>TPTP20R</v>
      </c>
      <c r="C86" s="1" t="str">
        <f>BOM_OpenBook!C86</f>
        <v>TPTP20R</v>
      </c>
      <c r="D86" s="1" t="str">
        <f ca="1">IFERROR(__xludf.DUMMYFUNCTION("REGEXEXTRACT(BOM_OpenBook!J86, ""(https?://[^\s)]+)"")"),"#N/A")</f>
        <v>#N/A</v>
      </c>
      <c r="E86" s="1" t="str">
        <f ca="1">IFERROR(__xludf.DUMMYFUNCTION("REGEXEXTRACT(BOM_OpenBook!L86, ""(https?://[^\s)]+)"")"),"#N/A")</f>
        <v>#N/A</v>
      </c>
      <c r="F86" s="1" t="str">
        <f ca="1">IFERROR(__xludf.DUMMYFUNCTION("REGEXEXTRACT(BOM_OpenBook!AH86, ""(https?://[^\s)]+)"")"),"#N/A")</f>
        <v>#N/A</v>
      </c>
      <c r="G86" s="1" t="str">
        <f ca="1">IFERROR(__xludf.DUMMYFUNCTION("REGEXEXTRACT(BOM_OpenBook!AJ86, ""(https?://[^\s)]+)"")"),"#N/A")</f>
        <v>#N/A</v>
      </c>
    </row>
    <row r="87" spans="1:7" x14ac:dyDescent="0.25">
      <c r="A87" s="1" t="str">
        <f>BOM_OpenBook!A87</f>
        <v>TP5</v>
      </c>
      <c r="B87" s="1" t="str">
        <f>BOM_OpenBook!B87</f>
        <v>TPTP20R</v>
      </c>
      <c r="C87" s="1" t="str">
        <f>BOM_OpenBook!C87</f>
        <v>TPTP20R</v>
      </c>
      <c r="D87" s="1" t="str">
        <f ca="1">IFERROR(__xludf.DUMMYFUNCTION("REGEXEXTRACT(BOM_OpenBook!J87, ""(https?://[^\s)]+)"")"),"#N/A")</f>
        <v>#N/A</v>
      </c>
      <c r="E87" s="1" t="str">
        <f ca="1">IFERROR(__xludf.DUMMYFUNCTION("REGEXEXTRACT(BOM_OpenBook!L87, ""(https?://[^\s)]+)"")"),"#N/A")</f>
        <v>#N/A</v>
      </c>
      <c r="F87" s="1" t="str">
        <f ca="1">IFERROR(__xludf.DUMMYFUNCTION("REGEXEXTRACT(BOM_OpenBook!AH87, ""(https?://[^\s)]+)"")"),"#N/A")</f>
        <v>#N/A</v>
      </c>
      <c r="G87" s="1" t="str">
        <f ca="1">IFERROR(__xludf.DUMMYFUNCTION("REGEXEXTRACT(BOM_OpenBook!AJ87, ""(https?://[^\s)]+)"")"),"#N/A")</f>
        <v>#N/A</v>
      </c>
    </row>
    <row r="88" spans="1:7" x14ac:dyDescent="0.25">
      <c r="A88" s="1" t="str">
        <f>BOM_OpenBook!A88</f>
        <v>TP6</v>
      </c>
      <c r="B88" s="1" t="str">
        <f>BOM_OpenBook!B88</f>
        <v>TPTP20R</v>
      </c>
      <c r="C88" s="1" t="str">
        <f>BOM_OpenBook!C88</f>
        <v>TPTP20R</v>
      </c>
      <c r="D88" s="1" t="str">
        <f ca="1">IFERROR(__xludf.DUMMYFUNCTION("REGEXEXTRACT(BOM_OpenBook!J88, ""(https?://[^\s)]+)"")"),"#N/A")</f>
        <v>#N/A</v>
      </c>
      <c r="E88" s="1" t="str">
        <f ca="1">IFERROR(__xludf.DUMMYFUNCTION("REGEXEXTRACT(BOM_OpenBook!L88, ""(https?://[^\s)]+)"")"),"#N/A")</f>
        <v>#N/A</v>
      </c>
      <c r="F88" s="1" t="str">
        <f ca="1">IFERROR(__xludf.DUMMYFUNCTION("REGEXEXTRACT(BOM_OpenBook!AH88, ""(https?://[^\s)]+)"")"),"#N/A")</f>
        <v>#N/A</v>
      </c>
      <c r="G88" s="1" t="str">
        <f ca="1">IFERROR(__xludf.DUMMYFUNCTION("REGEXEXTRACT(BOM_OpenBook!AJ88, ""(https?://[^\s)]+)"")"),"#N/A")</f>
        <v>#N/A</v>
      </c>
    </row>
    <row r="89" spans="1:7" x14ac:dyDescent="0.25">
      <c r="A89" s="1" t="str">
        <f>BOM_OpenBook!A89</f>
        <v>TP7</v>
      </c>
      <c r="B89" s="1" t="str">
        <f>BOM_OpenBook!B89</f>
        <v>TPTP20R</v>
      </c>
      <c r="C89" s="1" t="str">
        <f>BOM_OpenBook!C89</f>
        <v>TPTP20R</v>
      </c>
      <c r="D89" s="1" t="str">
        <f ca="1">IFERROR(__xludf.DUMMYFUNCTION("REGEXEXTRACT(BOM_OpenBook!J89, ""(https?://[^\s)]+)"")"),"#N/A")</f>
        <v>#N/A</v>
      </c>
      <c r="E89" s="1" t="str">
        <f ca="1">IFERROR(__xludf.DUMMYFUNCTION("REGEXEXTRACT(BOM_OpenBook!L89, ""(https?://[^\s)]+)"")"),"#N/A")</f>
        <v>#N/A</v>
      </c>
      <c r="F89" s="1" t="str">
        <f ca="1">IFERROR(__xludf.DUMMYFUNCTION("REGEXEXTRACT(BOM_OpenBook!AH89, ""(https?://[^\s)]+)"")"),"#N/A")</f>
        <v>#N/A</v>
      </c>
      <c r="G89" s="1" t="str">
        <f ca="1">IFERROR(__xludf.DUMMYFUNCTION("REGEXEXTRACT(BOM_OpenBook!AJ89, ""(https?://[^\s)]+)"")"),"#N/A")</f>
        <v>#N/A</v>
      </c>
    </row>
    <row r="90" spans="1:7" x14ac:dyDescent="0.25">
      <c r="A90" s="1" t="str">
        <f>BOM_OpenBook!A90</f>
        <v>TP8</v>
      </c>
      <c r="B90" s="1" t="str">
        <f>BOM_OpenBook!B90</f>
        <v>TPTP20R</v>
      </c>
      <c r="C90" s="1" t="str">
        <f>BOM_OpenBook!C90</f>
        <v>TPTP20R</v>
      </c>
      <c r="D90" s="1" t="str">
        <f ca="1">IFERROR(__xludf.DUMMYFUNCTION("REGEXEXTRACT(BOM_OpenBook!J90, ""(https?://[^\s)]+)"")"),"#N/A")</f>
        <v>#N/A</v>
      </c>
      <c r="E90" s="1" t="str">
        <f ca="1">IFERROR(__xludf.DUMMYFUNCTION("REGEXEXTRACT(BOM_OpenBook!L90, ""(https?://[^\s)]+)"")"),"#N/A")</f>
        <v>#N/A</v>
      </c>
      <c r="F90" s="1" t="str">
        <f ca="1">IFERROR(__xludf.DUMMYFUNCTION("REGEXEXTRACT(BOM_OpenBook!AH90, ""(https?://[^\s)]+)"")"),"#N/A")</f>
        <v>#N/A</v>
      </c>
      <c r="G90" s="1" t="str">
        <f ca="1">IFERROR(__xludf.DUMMYFUNCTION("REGEXEXTRACT(BOM_OpenBook!AJ90, ""(https?://[^\s)]+)"")"),"#N/A")</f>
        <v>#N/A</v>
      </c>
    </row>
    <row r="91" spans="1:7" x14ac:dyDescent="0.25">
      <c r="A91" s="1" t="str">
        <f>BOM_OpenBook!A91</f>
        <v>TP9</v>
      </c>
      <c r="B91" s="1" t="str">
        <f>BOM_OpenBook!B91</f>
        <v>TPTP20R</v>
      </c>
      <c r="C91" s="1" t="str">
        <f>BOM_OpenBook!C91</f>
        <v>TPTP20R</v>
      </c>
      <c r="D91" s="1" t="str">
        <f ca="1">IFERROR(__xludf.DUMMYFUNCTION("REGEXEXTRACT(BOM_OpenBook!J91, ""(https?://[^\s)]+)"")"),"#N/A")</f>
        <v>#N/A</v>
      </c>
      <c r="E91" s="1" t="str">
        <f ca="1">IFERROR(__xludf.DUMMYFUNCTION("REGEXEXTRACT(BOM_OpenBook!L91, ""(https?://[^\s)]+)"")"),"#N/A")</f>
        <v>#N/A</v>
      </c>
      <c r="F91" s="1" t="str">
        <f ca="1">IFERROR(__xludf.DUMMYFUNCTION("REGEXEXTRACT(BOM_OpenBook!AH91, ""(https?://[^\s)]+)"")"),"#N/A")</f>
        <v>#N/A</v>
      </c>
      <c r="G91" s="1" t="str">
        <f ca="1">IFERROR(__xludf.DUMMYFUNCTION("REGEXEXTRACT(BOM_OpenBook!AJ91, ""(https?://[^\s)]+)"")"),"#N/A")</f>
        <v>#N/A</v>
      </c>
    </row>
    <row r="92" spans="1:7" x14ac:dyDescent="0.25">
      <c r="A92" s="1" t="str">
        <f>BOM_OpenBook!A92</f>
        <v>TP10</v>
      </c>
      <c r="B92" s="1" t="str">
        <f>BOM_OpenBook!B92</f>
        <v>TPTP20R</v>
      </c>
      <c r="C92" s="1" t="str">
        <f>BOM_OpenBook!C92</f>
        <v>TPTP20R</v>
      </c>
      <c r="D92" s="1" t="str">
        <f ca="1">IFERROR(__xludf.DUMMYFUNCTION("REGEXEXTRACT(BOM_OpenBook!J92, ""(https?://[^\s)]+)"")"),"#N/A")</f>
        <v>#N/A</v>
      </c>
      <c r="E92" s="1" t="str">
        <f ca="1">IFERROR(__xludf.DUMMYFUNCTION("REGEXEXTRACT(BOM_OpenBook!L92, ""(https?://[^\s)]+)"")"),"#N/A")</f>
        <v>#N/A</v>
      </c>
      <c r="F92" s="1" t="str">
        <f ca="1">IFERROR(__xludf.DUMMYFUNCTION("REGEXEXTRACT(BOM_OpenBook!AH92, ""(https?://[^\s)]+)"")"),"#N/A")</f>
        <v>#N/A</v>
      </c>
      <c r="G92" s="1" t="str">
        <f ca="1">IFERROR(__xludf.DUMMYFUNCTION("REGEXEXTRACT(BOM_OpenBook!AJ92, ""(https?://[^\s)]+)"")"),"#N/A")</f>
        <v>#N/A</v>
      </c>
    </row>
    <row r="93" spans="1:7" x14ac:dyDescent="0.25">
      <c r="A93" s="1" t="str">
        <f>BOM_OpenBook!A93</f>
        <v>TP11</v>
      </c>
      <c r="B93" s="1" t="str">
        <f>BOM_OpenBook!B93</f>
        <v>TPTP20R</v>
      </c>
      <c r="C93" s="1" t="str">
        <f>BOM_OpenBook!C93</f>
        <v>TPTP20R</v>
      </c>
      <c r="D93" s="1" t="str">
        <f ca="1">IFERROR(__xludf.DUMMYFUNCTION("REGEXEXTRACT(BOM_OpenBook!J93, ""(https?://[^\s)]+)"")"),"#N/A")</f>
        <v>#N/A</v>
      </c>
      <c r="E93" s="1" t="str">
        <f ca="1">IFERROR(__xludf.DUMMYFUNCTION("REGEXEXTRACT(BOM_OpenBook!L93, ""(https?://[^\s)]+)"")"),"#N/A")</f>
        <v>#N/A</v>
      </c>
      <c r="F93" s="1" t="str">
        <f ca="1">IFERROR(__xludf.DUMMYFUNCTION("REGEXEXTRACT(BOM_OpenBook!AH93, ""(https?://[^\s)]+)"")"),"#N/A")</f>
        <v>#N/A</v>
      </c>
      <c r="G93" s="1" t="str">
        <f ca="1">IFERROR(__xludf.DUMMYFUNCTION("REGEXEXTRACT(BOM_OpenBook!AJ93, ""(https?://[^\s)]+)"")"),"#N/A")</f>
        <v>#N/A</v>
      </c>
    </row>
    <row r="94" spans="1:7" x14ac:dyDescent="0.25">
      <c r="A94" s="1" t="str">
        <f>BOM_OpenBook!A94</f>
        <v>TP12</v>
      </c>
      <c r="B94" s="1" t="str">
        <f>BOM_OpenBook!B94</f>
        <v>TPTP20R</v>
      </c>
      <c r="C94" s="1" t="str">
        <f>BOM_OpenBook!C94</f>
        <v>TPTP20R</v>
      </c>
      <c r="D94" s="1" t="str">
        <f ca="1">IFERROR(__xludf.DUMMYFUNCTION("REGEXEXTRACT(BOM_OpenBook!J94, ""(https?://[^\s)]+)"")"),"#N/A")</f>
        <v>#N/A</v>
      </c>
      <c r="E94" s="1" t="str">
        <f ca="1">IFERROR(__xludf.DUMMYFUNCTION("REGEXEXTRACT(BOM_OpenBook!L94, ""(https?://[^\s)]+)"")"),"#N/A")</f>
        <v>#N/A</v>
      </c>
      <c r="F94" s="1" t="str">
        <f ca="1">IFERROR(__xludf.DUMMYFUNCTION("REGEXEXTRACT(BOM_OpenBook!AH94, ""(https?://[^\s)]+)"")"),"#N/A")</f>
        <v>#N/A</v>
      </c>
      <c r="G94" s="1" t="str">
        <f ca="1">IFERROR(__xludf.DUMMYFUNCTION("REGEXEXTRACT(BOM_OpenBook!AJ94, ""(https?://[^\s)]+)"")"),"#N/A")</f>
        <v>#N/A</v>
      </c>
    </row>
    <row r="95" spans="1:7" x14ac:dyDescent="0.25">
      <c r="A95" s="1" t="str">
        <f>BOM_OpenBook!A95</f>
        <v>TP13</v>
      </c>
      <c r="B95" s="1" t="str">
        <f>BOM_OpenBook!B95</f>
        <v>TPTP20R</v>
      </c>
      <c r="C95" s="1" t="str">
        <f>BOM_OpenBook!C95</f>
        <v>TPTP20R</v>
      </c>
      <c r="D95" s="1" t="str">
        <f ca="1">IFERROR(__xludf.DUMMYFUNCTION("REGEXEXTRACT(BOM_OpenBook!J95, ""(https?://[^\s)]+)"")"),"#N/A")</f>
        <v>#N/A</v>
      </c>
      <c r="E95" s="1" t="str">
        <f ca="1">IFERROR(__xludf.DUMMYFUNCTION("REGEXEXTRACT(BOM_OpenBook!L95, ""(https?://[^\s)]+)"")"),"#N/A")</f>
        <v>#N/A</v>
      </c>
      <c r="F95" s="1" t="str">
        <f ca="1">IFERROR(__xludf.DUMMYFUNCTION("REGEXEXTRACT(BOM_OpenBook!AH95, ""(https?://[^\s)]+)"")"),"#N/A")</f>
        <v>#N/A</v>
      </c>
      <c r="G95" s="1" t="str">
        <f ca="1">IFERROR(__xludf.DUMMYFUNCTION("REGEXEXTRACT(BOM_OpenBook!AJ95, ""(https?://[^\s)]+)"")"),"#N/A")</f>
        <v>#N/A</v>
      </c>
    </row>
    <row r="96" spans="1:7" x14ac:dyDescent="0.25">
      <c r="A96" s="1" t="str">
        <f>BOM_OpenBook!A96</f>
        <v>TP14</v>
      </c>
      <c r="B96" s="1" t="str">
        <f>BOM_OpenBook!B96</f>
        <v>TPTP20R</v>
      </c>
      <c r="C96" s="1" t="str">
        <f>BOM_OpenBook!C96</f>
        <v>TPTP20R</v>
      </c>
      <c r="D96" s="1" t="str">
        <f ca="1">IFERROR(__xludf.DUMMYFUNCTION("REGEXEXTRACT(BOM_OpenBook!J96, ""(https?://[^\s)]+)"")"),"#N/A")</f>
        <v>#N/A</v>
      </c>
      <c r="E96" s="1" t="str">
        <f ca="1">IFERROR(__xludf.DUMMYFUNCTION("REGEXEXTRACT(BOM_OpenBook!L96, ""(https?://[^\s)]+)"")"),"#N/A")</f>
        <v>#N/A</v>
      </c>
      <c r="F96" s="1" t="str">
        <f ca="1">IFERROR(__xludf.DUMMYFUNCTION("REGEXEXTRACT(BOM_OpenBook!AH96, ""(https?://[^\s)]+)"")"),"#N/A")</f>
        <v>#N/A</v>
      </c>
      <c r="G96" s="1" t="str">
        <f ca="1">IFERROR(__xludf.DUMMYFUNCTION("REGEXEXTRACT(BOM_OpenBook!AJ96, ""(https?://[^\s)]+)"")"),"#N/A")</f>
        <v>#N/A</v>
      </c>
    </row>
    <row r="97" spans="1:7" x14ac:dyDescent="0.25">
      <c r="A97" s="1" t="str">
        <f>BOM_OpenBook!A97</f>
        <v>TP15</v>
      </c>
      <c r="B97" s="1" t="str">
        <f>BOM_OpenBook!B97</f>
        <v>TPTP20R</v>
      </c>
      <c r="C97" s="1" t="str">
        <f>BOM_OpenBook!C97</f>
        <v>TPTP20R</v>
      </c>
      <c r="D97" s="1" t="str">
        <f ca="1">IFERROR(__xludf.DUMMYFUNCTION("REGEXEXTRACT(BOM_OpenBook!J97, ""(https?://[^\s)]+)"")"),"#N/A")</f>
        <v>#N/A</v>
      </c>
      <c r="E97" s="1" t="str">
        <f ca="1">IFERROR(__xludf.DUMMYFUNCTION("REGEXEXTRACT(BOM_OpenBook!L97, ""(https?://[^\s)]+)"")"),"#N/A")</f>
        <v>#N/A</v>
      </c>
      <c r="F97" s="1" t="str">
        <f ca="1">IFERROR(__xludf.DUMMYFUNCTION("REGEXEXTRACT(BOM_OpenBook!AH97, ""(https?://[^\s)]+)"")"),"#N/A")</f>
        <v>#N/A</v>
      </c>
      <c r="G97" s="1" t="str">
        <f ca="1">IFERROR(__xludf.DUMMYFUNCTION("REGEXEXTRACT(BOM_OpenBook!AJ97, ""(https?://[^\s)]+)"")"),"#N/A")</f>
        <v>#N/A</v>
      </c>
    </row>
    <row r="98" spans="1:7" x14ac:dyDescent="0.25">
      <c r="A98" s="1" t="str">
        <f>BOM_OpenBook!A98</f>
        <v>TP16</v>
      </c>
      <c r="B98" s="1" t="str">
        <f>BOM_OpenBook!B98</f>
        <v>TPTP20R</v>
      </c>
      <c r="C98" s="1" t="str">
        <f>BOM_OpenBook!C98</f>
        <v>TPTP20R</v>
      </c>
      <c r="D98" s="1" t="str">
        <f ca="1">IFERROR(__xludf.DUMMYFUNCTION("REGEXEXTRACT(BOM_OpenBook!J98, ""(https?://[^\s)]+)"")"),"#N/A")</f>
        <v>#N/A</v>
      </c>
      <c r="E98" s="1" t="str">
        <f ca="1">IFERROR(__xludf.DUMMYFUNCTION("REGEXEXTRACT(BOM_OpenBook!L98, ""(https?://[^\s)]+)"")"),"#N/A")</f>
        <v>#N/A</v>
      </c>
      <c r="F98" s="1" t="str">
        <f ca="1">IFERROR(__xludf.DUMMYFUNCTION("REGEXEXTRACT(BOM_OpenBook!AH98, ""(https?://[^\s)]+)"")"),"#N/A")</f>
        <v>#N/A</v>
      </c>
      <c r="G98" s="1" t="str">
        <f ca="1">IFERROR(__xludf.DUMMYFUNCTION("REGEXEXTRACT(BOM_OpenBook!AJ98, ""(https?://[^\s)]+)"")"),"#N/A")</f>
        <v>#N/A</v>
      </c>
    </row>
    <row r="99" spans="1:7" x14ac:dyDescent="0.25">
      <c r="A99" s="1" t="str">
        <f>BOM_OpenBook!A99</f>
        <v>TP17</v>
      </c>
      <c r="B99" s="1" t="str">
        <f>BOM_OpenBook!B99</f>
        <v>TPTP20R</v>
      </c>
      <c r="C99" s="1" t="str">
        <f>BOM_OpenBook!C99</f>
        <v>TPTP20R</v>
      </c>
      <c r="D99" s="1" t="str">
        <f ca="1">IFERROR(__xludf.DUMMYFUNCTION("REGEXEXTRACT(BOM_OpenBook!J99, ""(https?://[^\s)]+)"")"),"#N/A")</f>
        <v>#N/A</v>
      </c>
      <c r="E99" s="1" t="str">
        <f ca="1">IFERROR(__xludf.DUMMYFUNCTION("REGEXEXTRACT(BOM_OpenBook!L99, ""(https?://[^\s)]+)"")"),"#N/A")</f>
        <v>#N/A</v>
      </c>
      <c r="F99" s="1" t="str">
        <f ca="1">IFERROR(__xludf.DUMMYFUNCTION("REGEXEXTRACT(BOM_OpenBook!AH99, ""(https?://[^\s)]+)"")"),"#N/A")</f>
        <v>#N/A</v>
      </c>
      <c r="G99" s="1" t="str">
        <f ca="1">IFERROR(__xludf.DUMMYFUNCTION("REGEXEXTRACT(BOM_OpenBook!AJ99, ""(https?://[^\s)]+)"")"),"#N/A")</f>
        <v>#N/A</v>
      </c>
    </row>
    <row r="100" spans="1:7" x14ac:dyDescent="0.25">
      <c r="A100" s="1" t="str">
        <f>BOM_OpenBook!A100</f>
        <v>U1</v>
      </c>
      <c r="B100" s="1" t="str">
        <f>BOM_OpenBook!B100</f>
        <v>W25Q512JVEIQ</v>
      </c>
      <c r="C100" s="1" t="str">
        <f>BOM_OpenBook!C100</f>
        <v>W25Q512JVEIQ</v>
      </c>
      <c r="D100" s="18" t="str">
        <f ca="1">IFERROR(__xludf.DUMMYFUNCTION("REGEXEXTRACT(BOM_OpenBook!J100, ""(https?://[^\s)]+)"")"),"https://www.snapeda.com/parts/W25Q512JVEIQ/Winbond+Electronics/view-part/?ref=eda")</f>
        <v>https://www.snapeda.com/parts/W25Q512JVEIQ/Winbond+Electronics/view-part/?ref=eda</v>
      </c>
      <c r="E100" s="1" t="str">
        <f ca="1">IFERROR(__xludf.DUMMYFUNCTION("REGEXEXTRACT(BOM_OpenBook!L100, ""(https?://[^\s)]+)"")"),"#N/A")</f>
        <v>#N/A</v>
      </c>
      <c r="F100" s="1" t="str">
        <f ca="1">IFERROR(__xludf.DUMMYFUNCTION("REGEXEXTRACT(BOM_OpenBook!AH100, ""(https?://[^\s)]+)"")"),"#N/A")</f>
        <v>#N/A</v>
      </c>
      <c r="G100" s="18" t="str">
        <f ca="1">IFERROR(__xludf.DUMMYFUNCTION("REGEXEXTRACT(BOM_OpenBook!AJ100, ""(https?://[^\s)]+)"")"),"https://www.snapeda.com/parts/W25Q512JVEIQ/Winbond+Electronics/view-part/?ref=snap")</f>
        <v>https://www.snapeda.com/parts/W25Q512JVEIQ/Winbond+Electronics/view-part/?ref=snap</v>
      </c>
    </row>
    <row r="101" spans="1:7" x14ac:dyDescent="0.25">
      <c r="A101" s="1" t="str">
        <f>BOM_OpenBook!A101</f>
        <v>U2</v>
      </c>
      <c r="B101" s="1" t="str">
        <f>BOM_OpenBook!B101</f>
        <v>ESP32-C6-WROOM-1-N8</v>
      </c>
      <c r="C101" s="1" t="str">
        <f>BOM_OpenBook!C101</f>
        <v>ESP32-C6-WROOM-1-N8</v>
      </c>
      <c r="D101" s="18" t="str">
        <f ca="1">IFERROR(__xludf.DUMMYFUNCTION("REGEXEXTRACT(BOM_OpenBook!J101, ""(https?://[^\s)]+)"")"),"https://www.snapeda.com/parts/ESP32-C6-WROOM-1-N8/Espressif+Systems/view-part/?ref=eda")</f>
        <v>https://www.snapeda.com/parts/ESP32-C6-WROOM-1-N8/Espressif+Systems/view-part/?ref=eda</v>
      </c>
      <c r="E101" s="1" t="str">
        <f ca="1">IFERROR(__xludf.DUMMYFUNCTION("REGEXEXTRACT(BOM_OpenBook!L101, ""(https?://[^\s)]+)"")"),"#N/A")</f>
        <v>#N/A</v>
      </c>
      <c r="F101" s="1" t="str">
        <f ca="1">IFERROR(__xludf.DUMMYFUNCTION("REGEXEXTRACT(BOM_OpenBook!AH101, ""(https?://[^\s)]+)"")"),"#N/A")</f>
        <v>#N/A</v>
      </c>
      <c r="G101" s="18" t="str">
        <f ca="1">IFERROR(__xludf.DUMMYFUNCTION("REGEXEXTRACT(BOM_OpenBook!AJ101, ""(https?://[^\s)]+)"")"),"https://www.snapeda.com/parts/ESP32-C6-WROOM-1-N8/Espressif+Systems/view-part/?ref=snap")</f>
        <v>https://www.snapeda.com/parts/ESP32-C6-WROOM-1-N8/Espressif+Systems/view-part/?ref=snap</v>
      </c>
    </row>
    <row r="102" spans="1:7" x14ac:dyDescent="0.25">
      <c r="A102" s="1" t="str">
        <f>BOM_OpenBook!A102</f>
        <v>U3</v>
      </c>
      <c r="B102" s="1" t="str">
        <f>BOM_OpenBook!B102</f>
        <v>DS3231SN#</v>
      </c>
      <c r="C102" s="1" t="str">
        <f>BOM_OpenBook!C102</f>
        <v>DS3231SN#</v>
      </c>
      <c r="D102" s="18" t="str">
        <f ca="1">IFERROR(__xludf.DUMMYFUNCTION("REGEXEXTRACT(BOM_OpenBook!J102, ""(https?://[^\s)]+)"")"),"https://www.snapeda.com/parts/DS3231SN%23/Analog+Devices/view-part/?ref=eda")</f>
        <v>https://www.snapeda.com/parts/DS3231SN%23/Analog+Devices/view-part/?ref=eda</v>
      </c>
      <c r="E102" s="1" t="str">
        <f ca="1">IFERROR(__xludf.DUMMYFUNCTION("REGEXEXTRACT(BOM_OpenBook!L102, ""(https?://[^\s)]+)"")"),"#N/A")</f>
        <v>#N/A</v>
      </c>
      <c r="F102" s="18" t="str">
        <f ca="1">IFERROR(__xludf.DUMMYFUNCTION("REGEXEXTRACT(BOM_OpenBook!AH102, ""(https?://[^\s)]+)"")"),"https://www.snapeda.com/api/url_track_click_mouser/?unipart_id=99048&amp;manufacturer=Analog")</f>
        <v>https://www.snapeda.com/api/url_track_click_mouser/?unipart_id=99048&amp;manufacturer=Analog</v>
      </c>
      <c r="G102" s="18" t="str">
        <f ca="1">IFERROR(__xludf.DUMMYFUNCTION("REGEXEXTRACT(BOM_OpenBook!AJ102, ""(https?://[^\s)]+)"")"),"https://www.snapeda.com/parts/DS3231SN%23/Analog+Devices/view-part/?ref=snap")</f>
        <v>https://www.snapeda.com/parts/DS3231SN%23/Analog+Devices/view-part/?ref=snap</v>
      </c>
    </row>
    <row r="103" spans="1:7" x14ac:dyDescent="0.25">
      <c r="A103" s="1" t="str">
        <f>BOM_OpenBook!A103</f>
        <v>U4</v>
      </c>
      <c r="B103" s="1" t="str">
        <f>BOM_OpenBook!B103</f>
        <v>MAX17048G+T10</v>
      </c>
      <c r="C103" s="1" t="str">
        <f>BOM_OpenBook!C103</f>
        <v>MAX17048G+T10</v>
      </c>
      <c r="D103" s="18" t="str">
        <f ca="1">IFERROR(__xludf.DUMMYFUNCTION("REGEXEXTRACT(BOM_OpenBook!J103, ""(https?://[^\s)]+)"")"),"https://www.snapeda.com/parts/MAX17048G+T10/Analog+Devices/view-part/?ref=eda")</f>
        <v>https://www.snapeda.com/parts/MAX17048G+T10/Analog+Devices/view-part/?ref=eda</v>
      </c>
      <c r="E103" s="1" t="str">
        <f ca="1">IFERROR(__xludf.DUMMYFUNCTION("REGEXEXTRACT(BOM_OpenBook!L103, ""(https?://[^\s)]+)"")"),"#N/A")</f>
        <v>#N/A</v>
      </c>
      <c r="F103" s="18" t="str">
        <f ca="1">IFERROR(__xludf.DUMMYFUNCTION("REGEXEXTRACT(BOM_OpenBook!AH103, ""(https?://[^\s)]+)"")"),"https://www.snapeda.com/api/url_track_click_mouser/?unipart_id=329239&amp;manufacturer=Analog")</f>
        <v>https://www.snapeda.com/api/url_track_click_mouser/?unipart_id=329239&amp;manufacturer=Analog</v>
      </c>
      <c r="G103" s="18" t="str">
        <f ca="1">IFERROR(__xludf.DUMMYFUNCTION("REGEXEXTRACT(BOM_OpenBook!AJ103, ""(https?://[^\s)]+)"")"),"https://www.snapeda.com/parts/MAX17048G+T10/Analog+Devices/view-part/?ref=snap")</f>
        <v>https://www.snapeda.com/parts/MAX17048G+T10/Analog+Devices/view-part/?ref=snap</v>
      </c>
    </row>
    <row r="104" spans="1:7" x14ac:dyDescent="0.25">
      <c r="A104" s="1" t="str">
        <f>BOM_OpenBook!A104</f>
        <v>U5</v>
      </c>
      <c r="B104" s="1" t="str">
        <f>BOM_OpenBook!B104</f>
        <v>MCP73831</v>
      </c>
      <c r="C104" s="1" t="str">
        <f>BOM_OpenBook!C104</f>
        <v>ESP32_WROVER_SPARKFUN-IC-POWER_MCP73831</v>
      </c>
      <c r="D104" s="18" t="str">
        <f ca="1">IFERROR(__xludf.DUMMYFUNCTION("REGEXEXTRACT(BOM_OpenBook!J104, ""(https?://[^\s)]+)"")"),"https://eu.mouser.com/ProductDetail/Microchip-Technology/MCP73831T-2ACI-OT?qs=yUQqVecv4qvbBQBGbHx0Mw%3D%3Dcf")</f>
        <v>https://eu.mouser.com/ProductDetail/Microchip-Technology/MCP73831T-2ACI-OT?qs=yUQqVecv4qvbBQBGbHx0Mw%3D%3Dcf</v>
      </c>
      <c r="E104" s="1" t="str">
        <f ca="1">IFERROR(__xludf.DUMMYFUNCTION("REGEXEXTRACT(BOM_OpenBook!L104, ""(https?://[^\s)]+)"")"),"#N/A")</f>
        <v>#N/A</v>
      </c>
      <c r="F104" s="1" t="str">
        <f ca="1">IFERROR(__xludf.DUMMYFUNCTION("REGEXEXTRACT(BOM_OpenBook!AH104, ""(https?://[^\s)]+)"")"),"#N/A")</f>
        <v>#N/A</v>
      </c>
      <c r="G104" s="1" t="str">
        <f ca="1">IFERROR(__xludf.DUMMYFUNCTION("REGEXEXTRACT(BOM_OpenBook!AJ104, ""(https?://[^\s)]+)"")"),"#N/A")</f>
        <v>#N/A</v>
      </c>
    </row>
    <row r="105" spans="1:7" x14ac:dyDescent="0.25">
      <c r="A105" s="17">
        <f>BOM_OpenBook!A105</f>
        <v>0</v>
      </c>
    </row>
    <row r="106" spans="1:7" x14ac:dyDescent="0.25">
      <c r="A106" s="17">
        <f>BOM_OpenBook!A106</f>
        <v>0</v>
      </c>
    </row>
    <row r="107" spans="1:7" x14ac:dyDescent="0.25">
      <c r="A107" s="17">
        <f>BOM_OpenBook!A107</f>
        <v>0</v>
      </c>
    </row>
    <row r="108" spans="1:7" x14ac:dyDescent="0.25">
      <c r="A108" s="17">
        <f>BOM_OpenBook!A108</f>
        <v>0</v>
      </c>
    </row>
    <row r="109" spans="1:7" x14ac:dyDescent="0.25">
      <c r="A109" s="17">
        <f>BOM_OpenBook!A109</f>
        <v>0</v>
      </c>
    </row>
    <row r="110" spans="1:7" x14ac:dyDescent="0.25">
      <c r="A110" s="17">
        <f>BOM_OpenBook!A110</f>
        <v>0</v>
      </c>
    </row>
    <row r="111" spans="1:7" x14ac:dyDescent="0.25">
      <c r="A111" s="17">
        <f>BOM_OpenBook!A111</f>
        <v>0</v>
      </c>
    </row>
    <row r="112" spans="1:7" x14ac:dyDescent="0.25">
      <c r="A112" s="17">
        <f>BOM_OpenBook!A112</f>
        <v>0</v>
      </c>
    </row>
    <row r="113" spans="1:1" x14ac:dyDescent="0.25">
      <c r="A113" s="17">
        <f>BOM_OpenBook!A113</f>
        <v>0</v>
      </c>
    </row>
    <row r="114" spans="1:1" x14ac:dyDescent="0.25">
      <c r="A114" s="17">
        <f>BOM_OpenBook!A114</f>
        <v>0</v>
      </c>
    </row>
    <row r="115" spans="1:1" x14ac:dyDescent="0.25">
      <c r="A115" s="17">
        <f>BOM_OpenBook!A115</f>
        <v>0</v>
      </c>
    </row>
    <row r="116" spans="1:1" x14ac:dyDescent="0.25">
      <c r="A116" s="17">
        <f>BOM_OpenBook!A116</f>
        <v>0</v>
      </c>
    </row>
    <row r="117" spans="1:1" x14ac:dyDescent="0.25">
      <c r="A117" s="17">
        <f>BOM_OpenBook!A117</f>
        <v>0</v>
      </c>
    </row>
    <row r="118" spans="1:1" x14ac:dyDescent="0.25">
      <c r="A118" s="17">
        <f>BOM_OpenBook!A118</f>
        <v>0</v>
      </c>
    </row>
    <row r="119" spans="1:1" x14ac:dyDescent="0.25">
      <c r="A119" s="17">
        <f>BOM_OpenBook!A119</f>
        <v>0</v>
      </c>
    </row>
    <row r="120" spans="1:1" x14ac:dyDescent="0.25">
      <c r="A120" s="17">
        <f>BOM_OpenBook!A120</f>
        <v>0</v>
      </c>
    </row>
    <row r="121" spans="1:1" x14ac:dyDescent="0.25">
      <c r="A121" s="17">
        <f>BOM_OpenBook!A121</f>
        <v>0</v>
      </c>
    </row>
    <row r="122" spans="1:1" x14ac:dyDescent="0.25">
      <c r="A122" s="17">
        <f>BOM_OpenBook!A122</f>
        <v>0</v>
      </c>
    </row>
    <row r="123" spans="1:1" x14ac:dyDescent="0.25">
      <c r="A123" s="17">
        <f>BOM_OpenBook!A123</f>
        <v>0</v>
      </c>
    </row>
    <row r="124" spans="1:1" x14ac:dyDescent="0.25">
      <c r="A124" s="17">
        <f>BOM_OpenBook!A124</f>
        <v>0</v>
      </c>
    </row>
    <row r="125" spans="1:1" x14ac:dyDescent="0.25">
      <c r="A125" s="17">
        <f>BOM_OpenBook!A125</f>
        <v>0</v>
      </c>
    </row>
    <row r="126" spans="1:1" x14ac:dyDescent="0.25">
      <c r="A126" s="17">
        <f>BOM_OpenBook!A126</f>
        <v>0</v>
      </c>
    </row>
    <row r="127" spans="1:1" x14ac:dyDescent="0.25">
      <c r="A127" s="17">
        <f>BOM_OpenBook!A127</f>
        <v>0</v>
      </c>
    </row>
    <row r="128" spans="1:1" x14ac:dyDescent="0.25">
      <c r="A128" s="17">
        <f>BOM_OpenBook!A128</f>
        <v>0</v>
      </c>
    </row>
    <row r="129" spans="1:1" x14ac:dyDescent="0.25">
      <c r="A129" s="17">
        <f>BOM_OpenBook!A129</f>
        <v>0</v>
      </c>
    </row>
    <row r="130" spans="1:1" x14ac:dyDescent="0.25">
      <c r="A130" s="17">
        <f>BOM_OpenBook!A130</f>
        <v>0</v>
      </c>
    </row>
    <row r="131" spans="1:1" x14ac:dyDescent="0.25">
      <c r="A131" s="17">
        <f>BOM_OpenBook!A131</f>
        <v>0</v>
      </c>
    </row>
    <row r="132" spans="1:1" x14ac:dyDescent="0.25">
      <c r="A132" s="17">
        <f>BOM_OpenBook!A132</f>
        <v>0</v>
      </c>
    </row>
    <row r="133" spans="1:1" x14ac:dyDescent="0.25">
      <c r="A133" s="17">
        <f>BOM_OpenBook!A133</f>
        <v>0</v>
      </c>
    </row>
    <row r="134" spans="1:1" x14ac:dyDescent="0.25">
      <c r="A134" s="17">
        <f>BOM_OpenBook!A134</f>
        <v>0</v>
      </c>
    </row>
    <row r="135" spans="1:1" x14ac:dyDescent="0.25">
      <c r="A135" s="17">
        <f>BOM_OpenBook!A135</f>
        <v>0</v>
      </c>
    </row>
    <row r="136" spans="1:1" x14ac:dyDescent="0.25">
      <c r="A136" s="17">
        <f>BOM_OpenBook!A136</f>
        <v>0</v>
      </c>
    </row>
    <row r="137" spans="1:1" x14ac:dyDescent="0.25">
      <c r="A137" s="17">
        <f>BOM_OpenBook!A137</f>
        <v>0</v>
      </c>
    </row>
    <row r="138" spans="1:1" x14ac:dyDescent="0.25">
      <c r="A138" s="17">
        <f>BOM_OpenBook!A138</f>
        <v>0</v>
      </c>
    </row>
    <row r="139" spans="1:1" x14ac:dyDescent="0.25">
      <c r="A139" s="17">
        <f>BOM_OpenBook!A139</f>
        <v>0</v>
      </c>
    </row>
    <row r="140" spans="1:1" x14ac:dyDescent="0.25">
      <c r="A140" s="17">
        <f>BOM_OpenBook!A140</f>
        <v>0</v>
      </c>
    </row>
    <row r="141" spans="1:1" x14ac:dyDescent="0.25">
      <c r="A141" s="17">
        <f>BOM_OpenBook!A141</f>
        <v>0</v>
      </c>
    </row>
    <row r="142" spans="1:1" x14ac:dyDescent="0.25">
      <c r="A142" s="17">
        <f>BOM_OpenBook!A142</f>
        <v>0</v>
      </c>
    </row>
    <row r="143" spans="1:1" x14ac:dyDescent="0.25">
      <c r="A143" s="17">
        <f>BOM_OpenBook!A143</f>
        <v>0</v>
      </c>
    </row>
    <row r="144" spans="1:1" x14ac:dyDescent="0.25">
      <c r="A144" s="17">
        <f>BOM_OpenBook!A144</f>
        <v>0</v>
      </c>
    </row>
    <row r="145" spans="1:1" x14ac:dyDescent="0.25">
      <c r="A145" s="17">
        <f>BOM_OpenBook!A145</f>
        <v>0</v>
      </c>
    </row>
    <row r="146" spans="1:1" x14ac:dyDescent="0.25">
      <c r="A146" s="17">
        <f>BOM_OpenBook!A146</f>
        <v>0</v>
      </c>
    </row>
    <row r="147" spans="1:1" x14ac:dyDescent="0.25">
      <c r="A147" s="17">
        <f>BOM_OpenBook!A147</f>
        <v>0</v>
      </c>
    </row>
    <row r="148" spans="1:1" x14ac:dyDescent="0.25">
      <c r="A148" s="17">
        <f>BOM_OpenBook!A148</f>
        <v>0</v>
      </c>
    </row>
    <row r="149" spans="1:1" x14ac:dyDescent="0.25">
      <c r="A149" s="17">
        <f>BOM_OpenBook!A149</f>
        <v>0</v>
      </c>
    </row>
    <row r="150" spans="1:1" x14ac:dyDescent="0.25">
      <c r="A150" s="17">
        <f>BOM_OpenBook!A150</f>
        <v>0</v>
      </c>
    </row>
    <row r="151" spans="1:1" x14ac:dyDescent="0.25">
      <c r="A151" s="17">
        <f>BOM_OpenBook!A151</f>
        <v>0</v>
      </c>
    </row>
    <row r="152" spans="1:1" x14ac:dyDescent="0.25">
      <c r="A152" s="17">
        <f>BOM_OpenBook!A152</f>
        <v>0</v>
      </c>
    </row>
    <row r="153" spans="1:1" x14ac:dyDescent="0.25">
      <c r="A153" s="17">
        <f>BOM_OpenBook!A153</f>
        <v>0</v>
      </c>
    </row>
    <row r="154" spans="1:1" x14ac:dyDescent="0.25">
      <c r="A154" s="17">
        <f>BOM_OpenBook!A154</f>
        <v>0</v>
      </c>
    </row>
    <row r="155" spans="1:1" x14ac:dyDescent="0.25">
      <c r="A155" s="17">
        <f>BOM_OpenBook!A155</f>
        <v>0</v>
      </c>
    </row>
    <row r="156" spans="1:1" x14ac:dyDescent="0.25">
      <c r="A156" s="17">
        <f>BOM_OpenBook!A156</f>
        <v>0</v>
      </c>
    </row>
    <row r="157" spans="1:1" x14ac:dyDescent="0.25">
      <c r="A157" s="17">
        <f>BOM_OpenBook!A157</f>
        <v>0</v>
      </c>
    </row>
    <row r="158" spans="1:1" x14ac:dyDescent="0.25">
      <c r="A158" s="17">
        <f>BOM_OpenBook!A158</f>
        <v>0</v>
      </c>
    </row>
    <row r="159" spans="1:1" x14ac:dyDescent="0.25">
      <c r="A159" s="17">
        <f>BOM_OpenBook!A159</f>
        <v>0</v>
      </c>
    </row>
    <row r="160" spans="1:1" x14ac:dyDescent="0.25">
      <c r="A160" s="17">
        <f>BOM_OpenBook!A160</f>
        <v>0</v>
      </c>
    </row>
    <row r="161" spans="1:1" x14ac:dyDescent="0.25">
      <c r="A161" s="17">
        <f>BOM_OpenBook!A161</f>
        <v>0</v>
      </c>
    </row>
    <row r="162" spans="1:1" x14ac:dyDescent="0.25">
      <c r="A162" s="17">
        <f>BOM_OpenBook!A162</f>
        <v>0</v>
      </c>
    </row>
    <row r="163" spans="1:1" x14ac:dyDescent="0.25">
      <c r="A163" s="17">
        <f>BOM_OpenBook!A163</f>
        <v>0</v>
      </c>
    </row>
    <row r="164" spans="1:1" x14ac:dyDescent="0.25">
      <c r="A164" s="17">
        <f>BOM_OpenBook!A164</f>
        <v>0</v>
      </c>
    </row>
  </sheetData>
  <autoFilter ref="A1:H104"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4</vt:i4>
      </vt:variant>
    </vt:vector>
  </HeadingPairs>
  <TitlesOfParts>
    <vt:vector size="4" baseType="lpstr">
      <vt:lpstr>BOM_OpenBook</vt:lpstr>
      <vt:lpstr>Unique_Per_Column</vt:lpstr>
      <vt:lpstr>Components3D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Andrei VASILICĂ (131537)</cp:lastModifiedBy>
  <dcterms:modified xsi:type="dcterms:W3CDTF">2025-04-05T16:57:51Z</dcterms:modified>
</cp:coreProperties>
</file>