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urse RFIC\TP\"/>
    </mc:Choice>
  </mc:AlternateContent>
  <bookViews>
    <workbookView xWindow="360" yWindow="75" windowWidth="20730" windowHeight="1176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R47" i="1" l="1"/>
  <c r="R46" i="1"/>
  <c r="R42" i="1"/>
  <c r="R41" i="1"/>
  <c r="R43" i="1" l="1"/>
  <c r="R44" i="1"/>
  <c r="W17" i="1" l="1"/>
  <c r="W8" i="1"/>
  <c r="W6" i="1"/>
  <c r="W15" i="1" s="1"/>
  <c r="X4" i="1"/>
  <c r="W3" i="1"/>
  <c r="Y10" i="1" s="1"/>
  <c r="W20" i="1" l="1"/>
  <c r="W21" i="1" s="1"/>
  <c r="W22" i="1" s="1"/>
  <c r="W23" i="1" s="1"/>
  <c r="W24" i="1"/>
  <c r="W16" i="1"/>
  <c r="W25" i="1"/>
  <c r="W30" i="1"/>
  <c r="W18" i="1"/>
  <c r="R3" i="1"/>
  <c r="R25" i="1" s="1"/>
  <c r="W31" i="1" l="1"/>
  <c r="W32" i="1" s="1"/>
  <c r="W33" i="1"/>
  <c r="T10" i="1"/>
  <c r="R17" i="1"/>
  <c r="R8" i="1"/>
  <c r="R6" i="1"/>
  <c r="R15" i="1" s="1"/>
  <c r="S4" i="1"/>
  <c r="N8" i="1"/>
  <c r="N14" i="1"/>
  <c r="W34" i="1" l="1"/>
  <c r="W35" i="1"/>
  <c r="W36" i="1" s="1"/>
  <c r="R18" i="1"/>
  <c r="R24" i="1"/>
  <c r="R20" i="1"/>
  <c r="R21" i="1" s="1"/>
  <c r="R22" i="1" s="1"/>
  <c r="R23" i="1" s="1"/>
  <c r="R16" i="1"/>
  <c r="R30" i="1"/>
  <c r="R31" i="1" s="1"/>
  <c r="R32" i="1" s="1"/>
  <c r="O5" i="1"/>
  <c r="R33" i="1" l="1"/>
  <c r="R34" i="1" s="1"/>
  <c r="N34" i="1"/>
  <c r="N31" i="1"/>
  <c r="O31" i="1" s="1"/>
  <c r="O4" i="1"/>
  <c r="R35" i="1" l="1"/>
  <c r="R36" i="1" s="1"/>
  <c r="N6" i="1"/>
  <c r="N15" i="1" l="1"/>
  <c r="N16" i="1" s="1"/>
  <c r="N17" i="1" s="1"/>
  <c r="K7" i="1"/>
  <c r="K10" i="1" s="1"/>
  <c r="K12" i="1" s="1"/>
  <c r="I7" i="1"/>
  <c r="I10" i="1" s="1"/>
  <c r="I12" i="1" s="1"/>
  <c r="E11" i="1"/>
  <c r="B11" i="1"/>
  <c r="E4" i="1"/>
  <c r="E5" i="1" s="1"/>
  <c r="E6" i="1" s="1"/>
  <c r="B5" i="1"/>
  <c r="B4" i="1"/>
  <c r="B6" i="1"/>
  <c r="N18" i="1" l="1"/>
  <c r="N23" i="1"/>
  <c r="K13" i="1"/>
  <c r="I13" i="1"/>
  <c r="I20" i="1"/>
  <c r="F5" i="1"/>
  <c r="I23" i="1" l="1"/>
  <c r="N25" i="1"/>
  <c r="N26" i="1" s="1"/>
  <c r="N19" i="1"/>
  <c r="N20" i="1"/>
  <c r="N21" i="1" s="1"/>
  <c r="N22" i="1" s="1"/>
  <c r="N24" i="1" s="1"/>
  <c r="K15" i="1"/>
  <c r="K16" i="1"/>
  <c r="K17" i="1" s="1"/>
  <c r="K18" i="1" s="1"/>
  <c r="K19" i="1" s="1"/>
  <c r="K20" i="1"/>
  <c r="I15" i="1"/>
  <c r="I16" i="1"/>
  <c r="I17" i="1" s="1"/>
  <c r="I18" i="1" s="1"/>
  <c r="I19" i="1" s="1"/>
  <c r="I21" i="1" s="1"/>
  <c r="K21" i="1" l="1"/>
  <c r="I24" i="1"/>
  <c r="I22" i="1"/>
  <c r="K23" i="1" l="1"/>
  <c r="K24" i="1" s="1"/>
  <c r="K22" i="1"/>
</calcChain>
</file>

<file path=xl/sharedStrings.xml><?xml version="1.0" encoding="utf-8"?>
<sst xmlns="http://schemas.openxmlformats.org/spreadsheetml/2006/main" count="142" uniqueCount="68">
  <si>
    <t>vef</t>
  </si>
  <si>
    <t>pdBm</t>
  </si>
  <si>
    <t>Vc</t>
  </si>
  <si>
    <t>Pdbm</t>
  </si>
  <si>
    <t>Vef</t>
  </si>
  <si>
    <t>P(mw)</t>
  </si>
  <si>
    <t>flna</t>
  </si>
  <si>
    <t>fmix</t>
  </si>
  <si>
    <t>glna</t>
  </si>
  <si>
    <t>ftot</t>
  </si>
  <si>
    <t>lin</t>
  </si>
  <si>
    <t>dB</t>
  </si>
  <si>
    <t>iip3</t>
  </si>
  <si>
    <t>qe</t>
  </si>
  <si>
    <t>IS0</t>
  </si>
  <si>
    <t>gm</t>
  </si>
  <si>
    <t>RL</t>
  </si>
  <si>
    <t>VOD</t>
  </si>
  <si>
    <t>W/L</t>
  </si>
  <si>
    <t>W</t>
  </si>
  <si>
    <t>um</t>
  </si>
  <si>
    <t>Cgs</t>
  </si>
  <si>
    <t>Co</t>
  </si>
  <si>
    <t>ft</t>
  </si>
  <si>
    <t>Ls</t>
  </si>
  <si>
    <t>Co+Cgs</t>
  </si>
  <si>
    <t>L1</t>
  </si>
  <si>
    <t>freq</t>
  </si>
  <si>
    <t>se</t>
  </si>
  <si>
    <t>s/n</t>
  </si>
  <si>
    <t>bw</t>
  </si>
  <si>
    <t>TD</t>
  </si>
  <si>
    <t>DS</t>
  </si>
  <si>
    <t>TP</t>
  </si>
  <si>
    <t>Gv</t>
  </si>
  <si>
    <t>F0</t>
  </si>
  <si>
    <t>NF (dB)</t>
  </si>
  <si>
    <t>nf</t>
  </si>
  <si>
    <t>IIP3 (dBm)</t>
  </si>
  <si>
    <t>iip3 cret 50Ohm</t>
  </si>
  <si>
    <t>Qe</t>
  </si>
  <si>
    <t>IDS0</t>
  </si>
  <si>
    <t>Kn</t>
  </si>
  <si>
    <t>20Log</t>
  </si>
  <si>
    <t>lin   =&gt;</t>
  </si>
  <si>
    <t>10Log</t>
  </si>
  <si>
    <t>10log =&gt;</t>
  </si>
  <si>
    <t>CL</t>
  </si>
  <si>
    <t>QL</t>
  </si>
  <si>
    <t>LL</t>
  </si>
  <si>
    <t>gv</t>
  </si>
  <si>
    <t>Ctot</t>
  </si>
  <si>
    <t>Cox</t>
  </si>
  <si>
    <t>Optim</t>
  </si>
  <si>
    <t>wo</t>
  </si>
  <si>
    <t>Ll</t>
  </si>
  <si>
    <t>I0</t>
  </si>
  <si>
    <t>Ci</t>
  </si>
  <si>
    <t>TP V3</t>
  </si>
  <si>
    <t>TP V2</t>
  </si>
  <si>
    <t>GAMMA=1</t>
  </si>
  <si>
    <t>GAMMA=2</t>
  </si>
  <si>
    <t>Adapatation en sortie</t>
  </si>
  <si>
    <t>Lo</t>
  </si>
  <si>
    <t>C2/C1</t>
  </si>
  <si>
    <t>C1</t>
  </si>
  <si>
    <t>C2</t>
  </si>
  <si>
    <t>Verif 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</si>
</sst>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1" fillId="0" borderId="0" xfId="0" applyFont="1"/>
    <xf numFmtId="11" fontId="0" fillId="0" borderId="0" xfId="0" applyNumberFormat="1"/>
    <xf numFmtId="11" fontId="0" fillId="3" borderId="0" xfId="0" applyNumberFormat="1" applyFill="1"/>
    <xf numFmtId="48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M22" workbookViewId="0">
      <selection activeCell="T36" sqref="T36"/>
    </sheetView>
  </sheetViews>
  <sheetFormatPr baseColWidth="10" defaultRowHeight="15" x14ac:dyDescent="0.25"/>
  <cols>
    <col min="2" max="2" width="8.5703125" customWidth="1"/>
    <col min="9" max="9" width="12" bestFit="1" customWidth="1"/>
    <col min="13" max="13" width="16.140625" customWidth="1"/>
    <col min="14" max="14" width="12" bestFit="1" customWidth="1"/>
  </cols>
  <sheetData>
    <row r="1" spans="1:25" x14ac:dyDescent="0.25">
      <c r="I1" t="s">
        <v>31</v>
      </c>
      <c r="K1" t="s">
        <v>32</v>
      </c>
      <c r="M1" t="s">
        <v>33</v>
      </c>
      <c r="Q1" t="s">
        <v>58</v>
      </c>
      <c r="V1" t="s">
        <v>59</v>
      </c>
    </row>
    <row r="2" spans="1:25" ht="15.75" thickBot="1" x14ac:dyDescent="0.3">
      <c r="H2" t="s">
        <v>27</v>
      </c>
      <c r="I2" s="5">
        <v>2450000000</v>
      </c>
      <c r="K2" s="5">
        <v>2450000000</v>
      </c>
    </row>
    <row r="3" spans="1:25" ht="15.75" thickBot="1" x14ac:dyDescent="0.3">
      <c r="A3" s="4" t="s">
        <v>0</v>
      </c>
      <c r="B3" s="1">
        <v>0.44600000000000001</v>
      </c>
      <c r="D3" s="4" t="s">
        <v>3</v>
      </c>
      <c r="E3" s="1">
        <v>3</v>
      </c>
      <c r="Q3" t="s">
        <v>54</v>
      </c>
      <c r="R3" s="5">
        <f>2*PI()*R9</f>
        <v>15393804002.589987</v>
      </c>
      <c r="V3" t="s">
        <v>54</v>
      </c>
      <c r="W3" s="5">
        <f>2*PI()*W9</f>
        <v>15393804002.589987</v>
      </c>
    </row>
    <row r="4" spans="1:25" x14ac:dyDescent="0.25">
      <c r="A4" t="s">
        <v>2</v>
      </c>
      <c r="B4" s="2">
        <f>B3*SQRT(2)</f>
        <v>0.63073924881840049</v>
      </c>
      <c r="D4" t="s">
        <v>5</v>
      </c>
      <c r="E4" s="2">
        <f>10^(E3/10)</f>
        <v>1.9952623149688797</v>
      </c>
      <c r="H4" t="s">
        <v>30</v>
      </c>
      <c r="I4" s="5">
        <v>100000</v>
      </c>
      <c r="K4" s="5">
        <v>100000</v>
      </c>
      <c r="M4" s="2" t="s">
        <v>34</v>
      </c>
      <c r="N4" s="2">
        <v>20</v>
      </c>
      <c r="O4">
        <f>20*LOG(N4)</f>
        <v>26.020599913279625</v>
      </c>
      <c r="P4" t="s">
        <v>11</v>
      </c>
      <c r="Q4" s="2" t="s">
        <v>50</v>
      </c>
      <c r="R4" s="2">
        <v>20</v>
      </c>
      <c r="S4">
        <f>20*LOG(R4)</f>
        <v>26.020599913279625</v>
      </c>
      <c r="V4" s="2" t="s">
        <v>50</v>
      </c>
      <c r="W4" s="2">
        <v>20</v>
      </c>
      <c r="X4">
        <f>20*LOG(W4)</f>
        <v>26.020599913279625</v>
      </c>
    </row>
    <row r="5" spans="1:25" x14ac:dyDescent="0.25">
      <c r="A5" t="s">
        <v>5</v>
      </c>
      <c r="B5" s="2">
        <f>1000*B3*B3/50</f>
        <v>3.9783200000000001</v>
      </c>
      <c r="D5" t="s">
        <v>4</v>
      </c>
      <c r="E5" s="2">
        <f>SQRT(50*0.001*E4)</f>
        <v>0.31585299705471215</v>
      </c>
      <c r="F5">
        <f>E5*E5</f>
        <v>9.9763115748444001E-2</v>
      </c>
      <c r="H5" t="s">
        <v>29</v>
      </c>
      <c r="I5">
        <v>12</v>
      </c>
      <c r="K5">
        <v>12</v>
      </c>
      <c r="M5" s="2" t="s">
        <v>36</v>
      </c>
      <c r="N5" s="2">
        <v>1.5</v>
      </c>
      <c r="O5">
        <f>10*LOG(N5)</f>
        <v>1.7609125905568124</v>
      </c>
      <c r="P5" t="s">
        <v>11</v>
      </c>
      <c r="Q5" s="2" t="s">
        <v>36</v>
      </c>
      <c r="R5" s="2">
        <v>2.5</v>
      </c>
      <c r="V5" s="2" t="s">
        <v>36</v>
      </c>
      <c r="W5" s="2">
        <v>1.79</v>
      </c>
    </row>
    <row r="6" spans="1:25" x14ac:dyDescent="0.25">
      <c r="A6" t="s">
        <v>1</v>
      </c>
      <c r="B6" s="2">
        <f>10*LOG(B3*B3/50)+30</f>
        <v>5.9969971308826509</v>
      </c>
      <c r="D6" t="s">
        <v>2</v>
      </c>
      <c r="E6" s="2">
        <f>E5*SQRT(2)</f>
        <v>0.4466835921509632</v>
      </c>
      <c r="H6" t="s">
        <v>28</v>
      </c>
      <c r="I6">
        <v>-110</v>
      </c>
      <c r="K6">
        <v>-110</v>
      </c>
      <c r="M6" s="2" t="s">
        <v>37</v>
      </c>
      <c r="N6" s="2">
        <f>10^(N5/10)</f>
        <v>1.4125375446227544</v>
      </c>
      <c r="Q6" s="2" t="s">
        <v>37</v>
      </c>
      <c r="R6" s="2">
        <f>10^(R5/10)</f>
        <v>1.778279410038923</v>
      </c>
      <c r="V6" s="2" t="s">
        <v>37</v>
      </c>
      <c r="W6" s="2">
        <f>10^(W5/10)</f>
        <v>1.5100801541641484</v>
      </c>
    </row>
    <row r="7" spans="1:25" x14ac:dyDescent="0.25">
      <c r="H7" t="s">
        <v>9</v>
      </c>
      <c r="I7" s="5">
        <f>I6+174-10*LOG(I4)-I5</f>
        <v>2</v>
      </c>
      <c r="K7" s="5">
        <f>K6+174-10*LOG(K4)-K5</f>
        <v>2</v>
      </c>
      <c r="M7" s="2" t="s">
        <v>38</v>
      </c>
      <c r="N7" s="2">
        <v>-10</v>
      </c>
      <c r="Q7" s="2" t="s">
        <v>38</v>
      </c>
      <c r="R7" s="2">
        <v>-10</v>
      </c>
      <c r="V7" s="2" t="s">
        <v>38</v>
      </c>
      <c r="W7" s="2">
        <v>-10</v>
      </c>
    </row>
    <row r="8" spans="1:25" x14ac:dyDescent="0.25">
      <c r="H8" t="s">
        <v>7</v>
      </c>
      <c r="I8">
        <v>10</v>
      </c>
      <c r="K8">
        <v>15</v>
      </c>
      <c r="M8" s="2" t="s">
        <v>39</v>
      </c>
      <c r="N8" s="2">
        <f>SQRT(10^((N7-30)/10)*2*50)</f>
        <v>0.1</v>
      </c>
      <c r="Q8" s="2" t="s">
        <v>39</v>
      </c>
      <c r="R8" s="2">
        <f>SQRT(10^((R7-30)/10)*2*50)</f>
        <v>0.1</v>
      </c>
      <c r="V8" s="2" t="s">
        <v>39</v>
      </c>
      <c r="W8" s="2">
        <f>SQRT(10^((W7-30)/10)*2*50)</f>
        <v>0.1</v>
      </c>
    </row>
    <row r="9" spans="1:25" x14ac:dyDescent="0.25">
      <c r="H9" t="s">
        <v>8</v>
      </c>
      <c r="I9">
        <v>10</v>
      </c>
      <c r="K9">
        <v>20</v>
      </c>
      <c r="M9" s="2" t="s">
        <v>35</v>
      </c>
      <c r="N9" s="6">
        <v>2450000000</v>
      </c>
      <c r="Q9" s="2" t="s">
        <v>35</v>
      </c>
      <c r="R9" s="6">
        <v>2450000000</v>
      </c>
      <c r="V9" s="2" t="s">
        <v>35</v>
      </c>
      <c r="W9" s="6">
        <v>2450000000</v>
      </c>
    </row>
    <row r="10" spans="1:25" x14ac:dyDescent="0.25">
      <c r="A10" s="4" t="s">
        <v>10</v>
      </c>
      <c r="B10" s="3">
        <v>0.13200000000000001</v>
      </c>
      <c r="D10" s="4" t="s">
        <v>11</v>
      </c>
      <c r="E10" s="3">
        <v>2</v>
      </c>
      <c r="H10" t="s">
        <v>6</v>
      </c>
      <c r="I10" s="2">
        <f>I7-(I8-1)/I9^2</f>
        <v>1.91</v>
      </c>
      <c r="K10" s="2">
        <f>K7-(K8-1)/K9^2</f>
        <v>1.9650000000000001</v>
      </c>
      <c r="M10" s="2" t="s">
        <v>47</v>
      </c>
      <c r="N10" s="6">
        <v>9.9999999999999998E-13</v>
      </c>
      <c r="Q10" s="2" t="s">
        <v>47</v>
      </c>
      <c r="R10" s="6">
        <v>9.9999999999999998E-13</v>
      </c>
      <c r="T10" s="5">
        <f>50/(12.7*R3)</f>
        <v>2.5575276087400825E-10</v>
      </c>
      <c r="V10" s="2" t="s">
        <v>47</v>
      </c>
      <c r="W10" s="6">
        <v>9.9999999999999998E-13</v>
      </c>
      <c r="Y10" s="5">
        <f>50/(12.7*W3)</f>
        <v>2.5575276087400825E-10</v>
      </c>
    </row>
    <row r="11" spans="1:25" x14ac:dyDescent="0.25">
      <c r="A11" t="s">
        <v>11</v>
      </c>
      <c r="B11" s="2">
        <f>10*LOG(B10)</f>
        <v>-8.7942606879415006</v>
      </c>
      <c r="D11" t="s">
        <v>10</v>
      </c>
      <c r="E11" s="2">
        <f>10^(E10/10)</f>
        <v>1.5848931924611136</v>
      </c>
      <c r="H11" t="s">
        <v>16</v>
      </c>
      <c r="I11">
        <v>2500</v>
      </c>
      <c r="K11">
        <v>1500</v>
      </c>
      <c r="M11" s="2" t="s">
        <v>48</v>
      </c>
      <c r="N11" s="2">
        <v>10</v>
      </c>
      <c r="Q11" s="2" t="s">
        <v>48</v>
      </c>
      <c r="R11" s="2">
        <v>10</v>
      </c>
      <c r="V11" s="2" t="s">
        <v>48</v>
      </c>
      <c r="W11" s="2">
        <v>10</v>
      </c>
    </row>
    <row r="12" spans="1:25" x14ac:dyDescent="0.25">
      <c r="H12" t="s">
        <v>13</v>
      </c>
      <c r="I12" s="2">
        <f>SQRT(I11/50)/(I9*(I10-1))</f>
        <v>0.77704041888631603</v>
      </c>
      <c r="K12" s="2">
        <f>K11/(50*K9*(K10-1))</f>
        <v>1.55440414507772</v>
      </c>
      <c r="M12" s="2" t="s">
        <v>42</v>
      </c>
      <c r="N12" s="2">
        <v>8.0000000000000007E-5</v>
      </c>
      <c r="Q12" s="2" t="s">
        <v>42</v>
      </c>
      <c r="R12" s="2">
        <v>8.0000000000000007E-5</v>
      </c>
      <c r="V12" s="2" t="s">
        <v>42</v>
      </c>
      <c r="W12" s="2">
        <v>8.0000000000000007E-5</v>
      </c>
    </row>
    <row r="13" spans="1:25" x14ac:dyDescent="0.25">
      <c r="H13" t="s">
        <v>15</v>
      </c>
      <c r="I13" s="2">
        <f>2/(50*(I10-1)*I12*I12)</f>
        <v>7.2800000000000004E-2</v>
      </c>
      <c r="K13" s="2">
        <f>2/(50*(K10-1)*K12*K12)</f>
        <v>1.7155555555555556E-2</v>
      </c>
      <c r="Q13" s="2" t="s">
        <v>40</v>
      </c>
      <c r="R13" s="2">
        <v>2</v>
      </c>
      <c r="V13" s="2" t="s">
        <v>40</v>
      </c>
      <c r="W13" s="2">
        <v>2</v>
      </c>
    </row>
    <row r="14" spans="1:25" x14ac:dyDescent="0.25">
      <c r="H14" t="s">
        <v>14</v>
      </c>
      <c r="I14">
        <v>1.0999999999999999E-2</v>
      </c>
      <c r="J14" t="s">
        <v>20</v>
      </c>
      <c r="K14">
        <v>5.0000000000000001E-3</v>
      </c>
      <c r="M14" t="s">
        <v>49</v>
      </c>
      <c r="N14" s="5">
        <f>1/(N10*4*PI()*PI()*N9*N9)</f>
        <v>4.2199576694018228E-9</v>
      </c>
      <c r="Q14" s="2" t="s">
        <v>52</v>
      </c>
      <c r="R14" s="6">
        <v>5E-15</v>
      </c>
      <c r="V14" s="2" t="s">
        <v>52</v>
      </c>
      <c r="W14" s="6">
        <v>5E-15</v>
      </c>
    </row>
    <row r="15" spans="1:25" x14ac:dyDescent="0.25">
      <c r="H15" t="s">
        <v>12</v>
      </c>
      <c r="I15" s="2">
        <f>0.64*SQRT(2*I14/I13)/I12</f>
        <v>0.45277455758909418</v>
      </c>
      <c r="K15" s="2">
        <f>0.64*SQRT(2*K14/K13)/K12</f>
        <v>0.31435012327021605</v>
      </c>
      <c r="M15" t="s">
        <v>16</v>
      </c>
      <c r="N15" s="5">
        <f>N11*N14*2*PI()*N9</f>
        <v>649.61201261998099</v>
      </c>
      <c r="Q15" t="s">
        <v>15</v>
      </c>
      <c r="R15" s="5">
        <f>2/(50*R13*R13*(R6-1))</f>
        <v>1.2848855913456435E-2</v>
      </c>
      <c r="S15" t="s">
        <v>61</v>
      </c>
      <c r="V15" t="s">
        <v>15</v>
      </c>
      <c r="W15" s="5">
        <f>1/(50*W13*W13*(W6-1))</f>
        <v>9.8023809771492394E-3</v>
      </c>
      <c r="X15" t="s">
        <v>60</v>
      </c>
    </row>
    <row r="16" spans="1:25" x14ac:dyDescent="0.25">
      <c r="H16" t="s">
        <v>17</v>
      </c>
      <c r="I16" s="2">
        <f>2*I14/I13</f>
        <v>0.30219780219780218</v>
      </c>
      <c r="K16" s="2">
        <f>2*K14/K13</f>
        <v>0.58290155440414504</v>
      </c>
      <c r="M16" t="s">
        <v>15</v>
      </c>
      <c r="N16" s="5">
        <f>(50*(N5-1)*N4*N4)/(2*N15*N15)</f>
        <v>1.1848460083507774E-2</v>
      </c>
      <c r="Q16" s="9" t="s">
        <v>16</v>
      </c>
      <c r="R16" s="5">
        <f>R4/(R15*R13)</f>
        <v>778.27941003892295</v>
      </c>
      <c r="V16" s="9" t="s">
        <v>16</v>
      </c>
      <c r="W16" s="5">
        <f>W4/(W15*W13)</f>
        <v>1020.1603083282969</v>
      </c>
    </row>
    <row r="17" spans="8:23" x14ac:dyDescent="0.25">
      <c r="H17" t="s">
        <v>18</v>
      </c>
      <c r="I17" s="2">
        <f>I13/(2*0.000055*I16)</f>
        <v>2190.0165289256197</v>
      </c>
      <c r="K17" s="2">
        <f>K13/(2*0.000055*K16)</f>
        <v>267.55735129068466</v>
      </c>
      <c r="M17" t="s">
        <v>40</v>
      </c>
      <c r="N17" s="5">
        <f>N4/(N16*N15)</f>
        <v>2.5984480504799241</v>
      </c>
      <c r="Q17" s="9" t="s">
        <v>51</v>
      </c>
      <c r="R17" s="7">
        <f>1/(50*R13*2*PI()*R9)</f>
        <v>6.4961201261998092E-13</v>
      </c>
      <c r="V17" s="9" t="s">
        <v>51</v>
      </c>
      <c r="W17" s="7">
        <f>1/(50*W13*2*PI()*W9)</f>
        <v>6.4961201261998092E-13</v>
      </c>
    </row>
    <row r="18" spans="8:23" x14ac:dyDescent="0.25">
      <c r="H18" t="s">
        <v>19</v>
      </c>
      <c r="I18" s="2">
        <f>I17*0.35</f>
        <v>766.5057851239668</v>
      </c>
      <c r="K18" s="2">
        <f>K17*0.35</f>
        <v>93.645072951739621</v>
      </c>
      <c r="M18" t="s">
        <v>17</v>
      </c>
      <c r="N18">
        <f>(N8*N17/0.64)^2</f>
        <v>0.16484209646100872</v>
      </c>
      <c r="Q18" s="9" t="s">
        <v>24</v>
      </c>
      <c r="R18" s="5">
        <f>50*R17/R15</f>
        <v>2.5278982696803802E-9</v>
      </c>
      <c r="V18" s="9" t="s">
        <v>24</v>
      </c>
      <c r="W18" s="5">
        <f>50*W17/W15</f>
        <v>3.3135419554408259E-9</v>
      </c>
    </row>
    <row r="19" spans="8:23" x14ac:dyDescent="0.25">
      <c r="H19" t="s">
        <v>21</v>
      </c>
      <c r="I19" s="2">
        <f>(2/3)*0.000000000000005*I18*0.35</f>
        <v>8.942567493112945E-13</v>
      </c>
      <c r="K19" s="2">
        <f>(2/3)*0.000000000000005*K18*0.35</f>
        <v>1.0925258511036287E-13</v>
      </c>
      <c r="M19" t="s">
        <v>41</v>
      </c>
      <c r="N19" s="5">
        <f>N16*N18/2</f>
        <v>9.7656249999999989E-4</v>
      </c>
      <c r="Q19" s="2" t="s">
        <v>56</v>
      </c>
      <c r="R19" s="6">
        <v>1.5E-3</v>
      </c>
      <c r="V19" s="2" t="s">
        <v>56</v>
      </c>
      <c r="W19" s="6">
        <v>1.5E-3</v>
      </c>
    </row>
    <row r="20" spans="8:23" x14ac:dyDescent="0.25">
      <c r="H20" t="s">
        <v>25</v>
      </c>
      <c r="I20" s="6">
        <f>1/(I12*2*3.14*50*I2)</f>
        <v>1.6728640865195845E-12</v>
      </c>
      <c r="K20" s="6">
        <f>1/(K12*2*3.14*50*K2)</f>
        <v>8.3625807010702383E-13</v>
      </c>
      <c r="M20" t="s">
        <v>18</v>
      </c>
      <c r="N20">
        <f>N16/(2*N12*N18)</f>
        <v>449.23522032152653</v>
      </c>
      <c r="Q20" t="s">
        <v>18</v>
      </c>
      <c r="R20">
        <f>R15*R15/(4*R12*R19)</f>
        <v>343.94395475992576</v>
      </c>
      <c r="V20" t="s">
        <v>18</v>
      </c>
      <c r="W20">
        <f>W15*W15/(4*W12*W19)</f>
        <v>200.18056837745263</v>
      </c>
    </row>
    <row r="21" spans="8:23" x14ac:dyDescent="0.25">
      <c r="H21" t="s">
        <v>22</v>
      </c>
      <c r="I21" s="6">
        <f>I20-I19</f>
        <v>7.7860733720829002E-13</v>
      </c>
      <c r="K21" s="6">
        <f>K20-K19</f>
        <v>7.2700548499666093E-13</v>
      </c>
      <c r="M21" t="s">
        <v>19</v>
      </c>
      <c r="N21">
        <f>N20*0.35</f>
        <v>157.23232711253428</v>
      </c>
      <c r="Q21" t="s">
        <v>19</v>
      </c>
      <c r="R21">
        <f>R20*0.35</f>
        <v>120.38038416597401</v>
      </c>
      <c r="V21" t="s">
        <v>19</v>
      </c>
      <c r="W21">
        <f>W20*0.35</f>
        <v>70.063198932108421</v>
      </c>
    </row>
    <row r="22" spans="8:23" x14ac:dyDescent="0.25">
      <c r="H22" t="s">
        <v>23</v>
      </c>
      <c r="I22" s="6">
        <f>I13/(2*3.14*I21)</f>
        <v>14888578791.79855</v>
      </c>
      <c r="K22" s="6">
        <f>K13/(2*3.14*K21)</f>
        <v>3757573249.0686197</v>
      </c>
      <c r="M22" t="s">
        <v>21</v>
      </c>
      <c r="N22">
        <f>(2/3)*0.000000000000005*0.35*N21</f>
        <v>1.834377149646233E-13</v>
      </c>
      <c r="Q22" s="9" t="s">
        <v>21</v>
      </c>
      <c r="R22" s="5">
        <f>(2/3)*0.000000000000005*0.35*R21</f>
        <v>1.4044378152696966E-13</v>
      </c>
      <c r="V22" s="9" t="s">
        <v>21</v>
      </c>
      <c r="W22" s="5">
        <f>(2/3)*0.000000000000005*0.35*W21</f>
        <v>8.1740398754126481E-14</v>
      </c>
    </row>
    <row r="23" spans="8:23" x14ac:dyDescent="0.25">
      <c r="H23" t="s">
        <v>24</v>
      </c>
      <c r="I23" s="6">
        <f>50*I20/I13</f>
        <v>1.1489451143678463E-9</v>
      </c>
      <c r="K23" s="6">
        <f>50*K21/K13</f>
        <v>2.1188631363244653E-9</v>
      </c>
      <c r="M23" t="s">
        <v>25</v>
      </c>
      <c r="N23" s="5">
        <f>1/(N17*50*2*PI()*N9)</f>
        <v>4.9999999999999999E-13</v>
      </c>
      <c r="Q23" s="9" t="s">
        <v>57</v>
      </c>
      <c r="R23" s="5">
        <f>R17-R22</f>
        <v>5.0916823109301131E-13</v>
      </c>
      <c r="V23" s="9" t="s">
        <v>57</v>
      </c>
      <c r="W23" s="5">
        <f>W17-W22</f>
        <v>5.6787161386585443E-13</v>
      </c>
    </row>
    <row r="24" spans="8:23" x14ac:dyDescent="0.25">
      <c r="H24" t="s">
        <v>26</v>
      </c>
      <c r="I24" s="5">
        <f>50*I12/(2*3.14*I2)-I23</f>
        <v>1.3762089831439048E-9</v>
      </c>
      <c r="K24" s="5">
        <f>50*K12/(2*3.14*K2)-K23</f>
        <v>2.9324957128816963E-9</v>
      </c>
      <c r="M24" t="s">
        <v>22</v>
      </c>
      <c r="N24" s="5">
        <f>N23-N22</f>
        <v>3.1656228503537672E-13</v>
      </c>
      <c r="Q24" s="9" t="s">
        <v>17</v>
      </c>
      <c r="R24" s="5">
        <f>2*R19/R15</f>
        <v>0.23348382301167689</v>
      </c>
      <c r="V24" s="9" t="s">
        <v>17</v>
      </c>
      <c r="W24" s="5">
        <f>2*W19/W15</f>
        <v>0.30604809249848908</v>
      </c>
    </row>
    <row r="25" spans="8:23" x14ac:dyDescent="0.25">
      <c r="M25" t="s">
        <v>24</v>
      </c>
      <c r="N25" s="5">
        <f>50*N23/N16</f>
        <v>2.1099788347009118E-9</v>
      </c>
      <c r="Q25" s="9" t="s">
        <v>55</v>
      </c>
      <c r="R25" s="5">
        <f>1/(R3*R3*R10)</f>
        <v>4.2199576694018228E-9</v>
      </c>
      <c r="V25" s="9" t="s">
        <v>55</v>
      </c>
      <c r="W25" s="5">
        <f>1/(W3*W3*W10)</f>
        <v>4.2199576694018228E-9</v>
      </c>
    </row>
    <row r="26" spans="8:23" x14ac:dyDescent="0.25">
      <c r="M26" t="s">
        <v>26</v>
      </c>
      <c r="N26" s="5">
        <f>-N25+(50*N17)/(2*PI()*N9)</f>
        <v>6.3299365041027338E-9</v>
      </c>
    </row>
    <row r="28" spans="8:23" x14ac:dyDescent="0.25">
      <c r="Q28" t="s">
        <v>53</v>
      </c>
      <c r="R28" s="5"/>
      <c r="V28" t="s">
        <v>53</v>
      </c>
      <c r="W28" s="5"/>
    </row>
    <row r="29" spans="8:23" x14ac:dyDescent="0.25">
      <c r="Q29" t="s">
        <v>24</v>
      </c>
      <c r="R29" s="5">
        <v>1.5E-9</v>
      </c>
      <c r="V29" t="s">
        <v>24</v>
      </c>
      <c r="W29" s="5">
        <v>1.5E-9</v>
      </c>
    </row>
    <row r="30" spans="8:23" x14ac:dyDescent="0.25">
      <c r="M30" s="8" t="s">
        <v>44</v>
      </c>
      <c r="N30" t="s">
        <v>43</v>
      </c>
      <c r="O30" t="s">
        <v>45</v>
      </c>
      <c r="Q30" t="s">
        <v>51</v>
      </c>
      <c r="R30" s="5">
        <f>R29*R15/50</f>
        <v>3.8546567740369305E-13</v>
      </c>
      <c r="V30" t="s">
        <v>51</v>
      </c>
      <c r="W30" s="5">
        <f>W29*W15/50</f>
        <v>2.9407142931447718E-13</v>
      </c>
    </row>
    <row r="31" spans="8:23" x14ac:dyDescent="0.25">
      <c r="M31">
        <v>1.5</v>
      </c>
      <c r="N31">
        <f>20*LOG(M31)</f>
        <v>3.5218251811136247</v>
      </c>
      <c r="O31">
        <f>N31/2</f>
        <v>1.7609125905568124</v>
      </c>
      <c r="Q31" t="s">
        <v>40</v>
      </c>
      <c r="R31" s="5">
        <f>1/(50*R30*2*PI()*R9)</f>
        <v>3.3705310262405077</v>
      </c>
      <c r="V31" t="s">
        <v>40</v>
      </c>
      <c r="W31" s="5">
        <f>1/(50*W30*2*PI()*W9)</f>
        <v>4.4180559405877684</v>
      </c>
    </row>
    <row r="32" spans="8:23" x14ac:dyDescent="0.25">
      <c r="M32" s="7"/>
      <c r="Q32" t="s">
        <v>16</v>
      </c>
      <c r="R32" s="5">
        <f>R4/(R15*R31)</f>
        <v>461.81412007769956</v>
      </c>
      <c r="V32" t="s">
        <v>16</v>
      </c>
      <c r="W32" s="5">
        <f>W4/(W15*W31)</f>
        <v>461.81412007769961</v>
      </c>
    </row>
    <row r="33" spans="13:23" x14ac:dyDescent="0.25">
      <c r="M33" s="8" t="s">
        <v>46</v>
      </c>
      <c r="N33" t="s">
        <v>10</v>
      </c>
      <c r="Q33" t="s">
        <v>18</v>
      </c>
      <c r="R33" s="5">
        <f>(3/2)*(R30/R14)</f>
        <v>115.63970322110791</v>
      </c>
      <c r="V33" t="s">
        <v>18</v>
      </c>
      <c r="W33" s="5">
        <f>(3/2)*(W30/W14)</f>
        <v>88.221428794343154</v>
      </c>
    </row>
    <row r="34" spans="13:23" x14ac:dyDescent="0.25">
      <c r="M34">
        <v>0</v>
      </c>
      <c r="N34">
        <f>10^(M34/10)</f>
        <v>1</v>
      </c>
      <c r="Q34" s="9" t="s">
        <v>19</v>
      </c>
      <c r="R34">
        <f>R33*0.35</f>
        <v>40.473896127387768</v>
      </c>
      <c r="V34" s="9" t="s">
        <v>19</v>
      </c>
      <c r="W34">
        <f>W33*0.35</f>
        <v>30.877500078020102</v>
      </c>
    </row>
    <row r="35" spans="13:23" x14ac:dyDescent="0.25">
      <c r="Q35" s="9" t="s">
        <v>41</v>
      </c>
      <c r="R35" s="5">
        <f>R15*R15/(4*R12*R33)</f>
        <v>4.4614083032834834E-3</v>
      </c>
      <c r="V35" s="9" t="s">
        <v>41</v>
      </c>
      <c r="W35" s="5">
        <f>W15*W15/(4*W12*W33)</f>
        <v>3.4036045059545965E-3</v>
      </c>
    </row>
    <row r="36" spans="13:23" x14ac:dyDescent="0.25">
      <c r="Q36" s="9" t="s">
        <v>17</v>
      </c>
      <c r="R36" s="5">
        <f>2*R35/R15</f>
        <v>0.69444444444444431</v>
      </c>
      <c r="V36" s="9" t="s">
        <v>17</v>
      </c>
      <c r="W36" s="5">
        <f>2*W35/W15</f>
        <v>0.69444444444444431</v>
      </c>
    </row>
    <row r="39" spans="13:23" x14ac:dyDescent="0.25">
      <c r="Q39" t="s">
        <v>62</v>
      </c>
    </row>
    <row r="40" spans="13:23" x14ac:dyDescent="0.25">
      <c r="Q40" s="10" t="s">
        <v>63</v>
      </c>
      <c r="R40" s="11">
        <v>4.2000000000000004E-9</v>
      </c>
    </row>
    <row r="41" spans="13:23" x14ac:dyDescent="0.25">
      <c r="Q41" t="s">
        <v>22</v>
      </c>
      <c r="R41" s="5">
        <f>1/(R40*R3*R3)</f>
        <v>1.004751826048053E-12</v>
      </c>
    </row>
    <row r="42" spans="13:23" x14ac:dyDescent="0.25">
      <c r="Q42" t="s">
        <v>64</v>
      </c>
      <c r="R42" s="5">
        <f>SQRT(R16/50)-1</f>
        <v>2.9453248536436716</v>
      </c>
    </row>
    <row r="43" spans="13:23" x14ac:dyDescent="0.25">
      <c r="Q43" t="s">
        <v>65</v>
      </c>
      <c r="R43" s="5">
        <f>R41*(1+R42)/R42</f>
        <v>1.3458862937129937E-12</v>
      </c>
    </row>
    <row r="44" spans="13:23" x14ac:dyDescent="0.25">
      <c r="Q44" t="s">
        <v>66</v>
      </c>
      <c r="R44" s="5">
        <f>R42*R43</f>
        <v>3.9640723510512466E-12</v>
      </c>
    </row>
    <row r="45" spans="13:23" x14ac:dyDescent="0.25">
      <c r="R45" s="5"/>
    </row>
    <row r="46" spans="13:23" x14ac:dyDescent="0.25">
      <c r="Q46" s="9" t="s">
        <v>67</v>
      </c>
      <c r="R46" s="5">
        <f>R16/2*R41*R3</f>
        <v>6.0188054040009051</v>
      </c>
    </row>
    <row r="47" spans="13:23" x14ac:dyDescent="0.25">
      <c r="Q47" s="9"/>
      <c r="R47" s="5">
        <f>50*R44*R3</f>
        <v>3.051107641208449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IMEP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admin-al</dc:creator>
  <cp:lastModifiedBy>Sylvain Bourdel</cp:lastModifiedBy>
  <dcterms:created xsi:type="dcterms:W3CDTF">2013-12-16T13:07:57Z</dcterms:created>
  <dcterms:modified xsi:type="dcterms:W3CDTF">2020-01-24T09:51:29Z</dcterms:modified>
</cp:coreProperties>
</file>