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defaultThemeVersion="124226"/>
  <xr:revisionPtr revIDLastSave="0" documentId="13_ncr:1_{D7F8A699-5EAF-F44B-8379-D712AB4BF772}" xr6:coauthVersionLast="47" xr6:coauthVersionMax="47" xr10:uidLastSave="{00000000-0000-0000-0000-000000000000}"/>
  <bookViews>
    <workbookView xWindow="-3780" yWindow="-18800" windowWidth="23860" windowHeight="17540" xr2:uid="{00000000-000D-0000-FFFF-FFFF00000000}"/>
  </bookViews>
  <sheets>
    <sheet name="Gc 10dB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U3" i="1"/>
  <c r="U4" i="1" s="1"/>
  <c r="G21" i="1" l="1"/>
  <c r="G20" i="1"/>
  <c r="G30" i="1" l="1"/>
  <c r="G4" i="1"/>
  <c r="G33" i="1" s="1"/>
  <c r="G28" i="1"/>
  <c r="G29" i="1" l="1"/>
  <c r="G32" i="1" s="1"/>
  <c r="G34" i="1" s="1"/>
  <c r="B9" i="1" l="1"/>
  <c r="L63" i="1" l="1"/>
  <c r="I63" i="1"/>
  <c r="F63" i="1"/>
  <c r="C63" i="1"/>
  <c r="L55" i="1" l="1"/>
  <c r="I55" i="1"/>
  <c r="F55" i="1"/>
  <c r="C55" i="1"/>
  <c r="C48" i="1"/>
  <c r="F48" i="1"/>
  <c r="L48" i="1"/>
  <c r="I48" i="1"/>
  <c r="B39" i="1"/>
  <c r="B12" i="1" l="1"/>
  <c r="B18" i="1" s="1"/>
  <c r="B2" i="1" l="1"/>
  <c r="N6" i="1" l="1"/>
  <c r="G23" i="1"/>
  <c r="H23" i="1" s="1"/>
  <c r="B11" i="1"/>
  <c r="B13" i="1" l="1"/>
  <c r="B23" i="1" s="1"/>
  <c r="N7" i="1"/>
  <c r="P7" i="1"/>
  <c r="G8" i="1"/>
  <c r="G11" i="1" s="1"/>
  <c r="P6" i="1" s="1"/>
  <c r="G35" i="1"/>
  <c r="G36" i="1" s="1"/>
  <c r="B19" i="1"/>
  <c r="B20" i="1" s="1"/>
  <c r="B21" i="1"/>
  <c r="B27" i="1"/>
  <c r="B29" i="1" s="1"/>
  <c r="B31" i="1" s="1"/>
  <c r="B14" i="1"/>
  <c r="G9" i="1" l="1"/>
  <c r="G12" i="1" s="1"/>
  <c r="B22" i="1"/>
  <c r="C22" i="1" s="1"/>
  <c r="R7" i="1"/>
  <c r="B15" i="1"/>
  <c r="G14" i="1" l="1"/>
  <c r="H14" i="1" s="1"/>
  <c r="R6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Influence de RON enlevée Attention à bien prendre w0²/(w0²+wA²) RON si on veut la rajouter, pas le cas avant</t>
        </r>
      </text>
    </comment>
    <comment ref="G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Attention, erreur avant = B3 au lieu de B3^2
</t>
        </r>
      </text>
    </comment>
    <comment ref="B22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Influence de RON enlevée Attention à bien prendre w0²/(w0²+wA²) RON si on veut la rajouter, pas le cas avant</t>
        </r>
      </text>
    </comment>
  </commentList>
</comments>
</file>

<file path=xl/sharedStrings.xml><?xml version="1.0" encoding="utf-8"?>
<sst xmlns="http://schemas.openxmlformats.org/spreadsheetml/2006/main" count="159" uniqueCount="74">
  <si>
    <t>Gc (V)</t>
  </si>
  <si>
    <t>dB</t>
  </si>
  <si>
    <t>En tension</t>
  </si>
  <si>
    <t>Gc (dB)</t>
  </si>
  <si>
    <t>gm(Ns)</t>
  </si>
  <si>
    <t>RL</t>
  </si>
  <si>
    <t>IIP3</t>
  </si>
  <si>
    <t>Vc</t>
  </si>
  <si>
    <t>ID</t>
  </si>
  <si>
    <t>Kn</t>
  </si>
  <si>
    <t>um</t>
  </si>
  <si>
    <t>A</t>
  </si>
  <si>
    <t>A/V</t>
  </si>
  <si>
    <t>R. Cycl. Cond. N1,2</t>
  </si>
  <si>
    <t>W/L (Ns)</t>
  </si>
  <si>
    <t>W(Ns)</t>
  </si>
  <si>
    <t>W/L (N1)</t>
  </si>
  <si>
    <t>F</t>
  </si>
  <si>
    <t>V</t>
  </si>
  <si>
    <t>VOD(NS)</t>
  </si>
  <si>
    <t>Polar</t>
  </si>
  <si>
    <t>Vdd</t>
  </si>
  <si>
    <t>VO+=Vdd-RL.Id</t>
  </si>
  <si>
    <t>Ron(N1,2)</t>
  </si>
  <si>
    <t>VDS(NS)</t>
  </si>
  <si>
    <t>Vg(N1,2)</t>
  </si>
  <si>
    <t>W/L (N1,2)</t>
  </si>
  <si>
    <t>VOD(N1,2)-LZA(Ns)</t>
  </si>
  <si>
    <t>w</t>
  </si>
  <si>
    <t>l</t>
  </si>
  <si>
    <t>vt</t>
  </si>
  <si>
    <t>Ids</t>
  </si>
  <si>
    <t>vgs</t>
  </si>
  <si>
    <t>kn</t>
  </si>
  <si>
    <t>VDS=0,6</t>
  </si>
  <si>
    <t>VDS=1,5</t>
  </si>
  <si>
    <t>W=5um</t>
  </si>
  <si>
    <t>W(N1,2)</t>
  </si>
  <si>
    <t>gm(N1,2)</t>
  </si>
  <si>
    <t>K</t>
  </si>
  <si>
    <t>T</t>
  </si>
  <si>
    <t>KT</t>
  </si>
  <si>
    <t>g</t>
  </si>
  <si>
    <t>Ind2(Ns)</t>
  </si>
  <si>
    <t>Ind2(N1,2)</t>
  </si>
  <si>
    <t>ena12</t>
  </si>
  <si>
    <t>ena22</t>
  </si>
  <si>
    <t>com</t>
  </si>
  <si>
    <t>trans</t>
  </si>
  <si>
    <t>Bruit Théorique</t>
  </si>
  <si>
    <t>Bruit Simulé</t>
  </si>
  <si>
    <t>(ena1=ena2=5,8e-9)</t>
  </si>
  <si>
    <t>C(A)</t>
  </si>
  <si>
    <t>Fo</t>
  </si>
  <si>
    <t>wo</t>
  </si>
  <si>
    <t>Im(Y11)</t>
  </si>
  <si>
    <t>Re(Y11)</t>
  </si>
  <si>
    <t>Cp(A)</t>
  </si>
  <si>
    <t>Rp(A)</t>
  </si>
  <si>
    <t>gmN1,2</t>
  </si>
  <si>
    <t>(simul)</t>
  </si>
  <si>
    <t>wA</t>
  </si>
  <si>
    <t>wo2/(wo2+wa2)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</si>
  <si>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ON</t>
    </r>
    <r>
      <rPr>
        <i/>
        <sz val="11"/>
        <color theme="1"/>
        <rFont val="Calibri"/>
        <family val="2"/>
        <scheme val="minor"/>
      </rPr>
      <t/>
    </r>
  </si>
  <si>
    <t>4KT/Ron</t>
  </si>
  <si>
    <t>wo2/(wo2+wa2)*4KT/Ron</t>
  </si>
  <si>
    <t>Vtn0</t>
  </si>
  <si>
    <t>Vin</t>
  </si>
  <si>
    <t>Vout</t>
  </si>
  <si>
    <t>Gv</t>
  </si>
  <si>
    <t>Gv dB</t>
  </si>
  <si>
    <t>Ro</t>
  </si>
  <si>
    <t>Co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</si>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</sst>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11" fontId="0" fillId="2" borderId="2" xfId="0" applyNumberFormat="1" applyFill="1" applyBorder="1"/>
    <xf numFmtId="0" fontId="0" fillId="2" borderId="3" xfId="0" applyFill="1" applyBorder="1"/>
    <xf numFmtId="11" fontId="0" fillId="2" borderId="4" xfId="0" applyNumberFormat="1" applyFill="1" applyBorder="1"/>
    <xf numFmtId="0" fontId="0" fillId="2" borderId="4" xfId="0" applyFill="1" applyBorder="1"/>
    <xf numFmtId="0" fontId="0" fillId="0" borderId="5" xfId="0" applyBorder="1"/>
    <xf numFmtId="11" fontId="0" fillId="0" borderId="6" xfId="0" applyNumberFormat="1" applyBorder="1"/>
    <xf numFmtId="48" fontId="0" fillId="2" borderId="0" xfId="0" applyNumberFormat="1" applyFill="1" applyBorder="1"/>
    <xf numFmtId="48" fontId="0" fillId="0" borderId="0" xfId="0" applyNumberFormat="1"/>
    <xf numFmtId="48" fontId="0" fillId="0" borderId="0" xfId="0" applyNumberFormat="1" applyFill="1" applyBorder="1"/>
    <xf numFmtId="0" fontId="1" fillId="0" borderId="0" xfId="0" applyFont="1"/>
    <xf numFmtId="48" fontId="2" fillId="2" borderId="0" xfId="0" applyNumberFormat="1" applyFont="1" applyFill="1"/>
    <xf numFmtId="11" fontId="0" fillId="2" borderId="0" xfId="0" applyNumberFormat="1" applyFill="1"/>
    <xf numFmtId="0" fontId="3" fillId="2" borderId="0" xfId="0" applyFont="1" applyFill="1"/>
    <xf numFmtId="11" fontId="0" fillId="0" borderId="0" xfId="0" applyNumberFormat="1"/>
    <xf numFmtId="0" fontId="4" fillId="0" borderId="0" xfId="0" applyFont="1" applyAlignment="1">
      <alignment horizontal="center" vertical="center"/>
    </xf>
    <xf numFmtId="0" fontId="0" fillId="3" borderId="0" xfId="0" applyFill="1"/>
    <xf numFmtId="11" fontId="0" fillId="3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11" fontId="0" fillId="4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73</xdr:row>
      <xdr:rowOff>12688</xdr:rowOff>
    </xdr:from>
    <xdr:to>
      <xdr:col>11</xdr:col>
      <xdr:colOff>384362</xdr:colOff>
      <xdr:row>95</xdr:row>
      <xdr:rowOff>123173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3442938"/>
          <a:ext cx="7620000" cy="43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B1" zoomScale="85" zoomScaleNormal="85" workbookViewId="0">
      <selection activeCell="X4" sqref="X4"/>
    </sheetView>
  </sheetViews>
  <sheetFormatPr baseColWidth="10" defaultColWidth="9.1640625" defaultRowHeight="15" x14ac:dyDescent="0.2"/>
  <cols>
    <col min="1" max="1" width="19.33203125" customWidth="1"/>
    <col min="2" max="2" width="12" bestFit="1" customWidth="1"/>
    <col min="4" max="4" width="4.83203125" customWidth="1"/>
    <col min="5" max="5" width="8.6640625" customWidth="1"/>
    <col min="6" max="6" width="12.83203125" customWidth="1"/>
    <col min="7" max="7" width="12" customWidth="1"/>
    <col min="8" max="9" width="8.6640625" customWidth="1"/>
    <col min="10" max="10" width="3.5" customWidth="1"/>
    <col min="11" max="11" width="8.6640625" customWidth="1"/>
    <col min="12" max="12" width="12" bestFit="1" customWidth="1"/>
  </cols>
  <sheetData>
    <row r="1" spans="1:24" x14ac:dyDescent="0.2">
      <c r="A1" s="1" t="s">
        <v>3</v>
      </c>
      <c r="B1" s="1">
        <v>10</v>
      </c>
      <c r="C1" t="s">
        <v>1</v>
      </c>
      <c r="T1" t="s">
        <v>67</v>
      </c>
      <c r="U1">
        <v>1.9870000000000001</v>
      </c>
      <c r="W1" t="s">
        <v>71</v>
      </c>
      <c r="X1">
        <v>400</v>
      </c>
    </row>
    <row r="2" spans="1:24" x14ac:dyDescent="0.2">
      <c r="A2" t="s">
        <v>0</v>
      </c>
      <c r="B2">
        <f>10^(B1/20)</f>
        <v>3.1622776601683795</v>
      </c>
      <c r="C2" t="s">
        <v>2</v>
      </c>
      <c r="T2" t="s">
        <v>68</v>
      </c>
      <c r="U2">
        <v>6.3220000000000001</v>
      </c>
      <c r="W2" t="s">
        <v>72</v>
      </c>
      <c r="X2" s="18">
        <v>9.9999999999999994E-12</v>
      </c>
    </row>
    <row r="3" spans="1:24" x14ac:dyDescent="0.2">
      <c r="A3" s="1" t="s">
        <v>5</v>
      </c>
      <c r="B3" s="1">
        <v>400</v>
      </c>
      <c r="F3" t="s">
        <v>53</v>
      </c>
      <c r="G3" s="18">
        <v>2450000000</v>
      </c>
      <c r="T3" t="s">
        <v>69</v>
      </c>
      <c r="U3">
        <f>U2/U1</f>
        <v>3.1816809260191241</v>
      </c>
      <c r="W3" t="s">
        <v>73</v>
      </c>
      <c r="X3" s="18">
        <f>1/2/PI()/X1/X2</f>
        <v>39788735.772973843</v>
      </c>
    </row>
    <row r="4" spans="1:24" x14ac:dyDescent="0.2">
      <c r="A4" s="1" t="s">
        <v>6</v>
      </c>
      <c r="B4" s="1">
        <v>0.42</v>
      </c>
      <c r="C4" t="s">
        <v>7</v>
      </c>
      <c r="F4" t="s">
        <v>54</v>
      </c>
      <c r="G4" s="18">
        <f>2*PI()*G3</f>
        <v>15393804002.589987</v>
      </c>
      <c r="T4" t="s">
        <v>70</v>
      </c>
      <c r="U4">
        <f>20*LOG(U3)</f>
        <v>10.053132487874914</v>
      </c>
    </row>
    <row r="5" spans="1:24" x14ac:dyDescent="0.2">
      <c r="A5" s="1" t="s">
        <v>9</v>
      </c>
      <c r="B5" s="15">
        <v>8.0000000000000007E-5</v>
      </c>
    </row>
    <row r="6" spans="1:24" x14ac:dyDescent="0.2">
      <c r="A6" s="1" t="s">
        <v>13</v>
      </c>
      <c r="B6" s="1">
        <v>0.2</v>
      </c>
      <c r="F6" t="s">
        <v>49</v>
      </c>
      <c r="N6" s="18">
        <f>B2^2*4*B9*50</f>
        <v>8.004000000000003E-18</v>
      </c>
      <c r="P6" s="18">
        <f>(1-B6)*G11</f>
        <v>6.1135644466836488E-17</v>
      </c>
      <c r="R6" s="18">
        <f>B6*G12</f>
        <v>1.5508207087107078E-17</v>
      </c>
    </row>
    <row r="7" spans="1:24" x14ac:dyDescent="0.2">
      <c r="A7" s="1" t="s">
        <v>39</v>
      </c>
      <c r="B7" s="16">
        <v>1.3800000000000001E-23</v>
      </c>
      <c r="N7" s="18">
        <f>50*(2*B3*B11/PI())^2*4*B9</f>
        <v>8.004000000000003E-18</v>
      </c>
      <c r="P7" s="18">
        <f>(1-B6)*(B3^2*B10*B11+2*B3)*4*B9</f>
        <v>6.1135644466836488E-17</v>
      </c>
      <c r="R7" s="18">
        <f>B6*(2*B3^2*B10*B21+2*B3)*4*B9</f>
        <v>1.5508207087107078E-17</v>
      </c>
    </row>
    <row r="8" spans="1:24" x14ac:dyDescent="0.2">
      <c r="A8" s="1" t="s">
        <v>40</v>
      </c>
      <c r="B8" s="1">
        <v>290</v>
      </c>
      <c r="F8" s="24" t="s">
        <v>43</v>
      </c>
      <c r="G8" s="26">
        <f>4*B9*B10*B11</f>
        <v>3.9758222239716005E-22</v>
      </c>
    </row>
    <row r="9" spans="1:24" x14ac:dyDescent="0.2">
      <c r="A9" s="1" t="s">
        <v>41</v>
      </c>
      <c r="B9" s="16">
        <f>B7*B8</f>
        <v>4.0020000000000005E-21</v>
      </c>
      <c r="F9" t="s">
        <v>44</v>
      </c>
      <c r="G9" s="18">
        <f>4*B9*B10*B21</f>
        <v>2.0229573573604809E-22</v>
      </c>
    </row>
    <row r="10" spans="1:24" x14ac:dyDescent="0.2">
      <c r="A10" s="17" t="s">
        <v>42</v>
      </c>
      <c r="B10" s="27">
        <v>2</v>
      </c>
    </row>
    <row r="11" spans="1:24" x14ac:dyDescent="0.2">
      <c r="A11" t="s">
        <v>4</v>
      </c>
      <c r="B11">
        <f>(B2*PI())/(2*B3)</f>
        <v>1.2418235332245127E-2</v>
      </c>
      <c r="C11" t="s">
        <v>12</v>
      </c>
      <c r="E11" t="s">
        <v>47</v>
      </c>
      <c r="F11" t="s">
        <v>45</v>
      </c>
      <c r="G11" s="18">
        <f>B3^2*G8+8*B9*B3</f>
        <v>7.6419555583545604E-17</v>
      </c>
    </row>
    <row r="12" spans="1:24" x14ac:dyDescent="0.2">
      <c r="A12" s="2" t="s">
        <v>19</v>
      </c>
      <c r="B12">
        <f>(B4/0.64)^2</f>
        <v>0.4306640625</v>
      </c>
      <c r="C12" t="s">
        <v>18</v>
      </c>
      <c r="E12" t="s">
        <v>48</v>
      </c>
      <c r="F12" t="s">
        <v>46</v>
      </c>
      <c r="G12" s="18">
        <f>2*B3^2*G9+8*B9*B3</f>
        <v>7.7541035435535391E-17</v>
      </c>
    </row>
    <row r="13" spans="1:24" x14ac:dyDescent="0.2">
      <c r="A13" t="s">
        <v>8</v>
      </c>
      <c r="B13">
        <f>(B11/2)*B12</f>
        <v>2.674043838632862E-3</v>
      </c>
      <c r="C13" t="s">
        <v>11</v>
      </c>
    </row>
    <row r="14" spans="1:24" x14ac:dyDescent="0.2">
      <c r="A14" t="s">
        <v>14</v>
      </c>
      <c r="B14" s="12">
        <f>B11*B11/(4*B5*B13)</f>
        <v>180.21928826840997</v>
      </c>
      <c r="F14" s="20" t="s">
        <v>17</v>
      </c>
      <c r="G14" s="23">
        <f>1+((1-B6)*G11+B6*G12)/(B2^2*4*B9*50)</f>
        <v>10.57569359744422</v>
      </c>
      <c r="H14" s="22">
        <f>10*LOG(G14)</f>
        <v>10.243088597978758</v>
      </c>
      <c r="I14" s="20" t="s">
        <v>1</v>
      </c>
    </row>
    <row r="15" spans="1:24" x14ac:dyDescent="0.2">
      <c r="A15" t="s">
        <v>15</v>
      </c>
      <c r="B15">
        <f>B14*0.35</f>
        <v>63.076750893943483</v>
      </c>
      <c r="C15" t="s">
        <v>10</v>
      </c>
    </row>
    <row r="16" spans="1:24" x14ac:dyDescent="0.2">
      <c r="A16" s="1" t="s">
        <v>25</v>
      </c>
      <c r="B16" s="1">
        <v>1.5</v>
      </c>
      <c r="C16" t="s">
        <v>18</v>
      </c>
    </row>
    <row r="17" spans="1:9" x14ac:dyDescent="0.2">
      <c r="A17" s="1" t="s">
        <v>66</v>
      </c>
      <c r="B17" s="1">
        <v>0.56000000000000005</v>
      </c>
      <c r="C17" t="s">
        <v>18</v>
      </c>
    </row>
    <row r="18" spans="1:9" x14ac:dyDescent="0.2">
      <c r="A18" t="s">
        <v>27</v>
      </c>
      <c r="B18">
        <f>B16-B12-B17-0.2*B12</f>
        <v>0.42320312499999996</v>
      </c>
      <c r="C18" t="s">
        <v>18</v>
      </c>
    </row>
    <row r="19" spans="1:9" x14ac:dyDescent="0.2">
      <c r="A19" t="s">
        <v>26</v>
      </c>
      <c r="B19" s="12">
        <f>B13/(2*B5*B18*B18)</f>
        <v>93.314859893317177</v>
      </c>
      <c r="D19" s="3"/>
      <c r="F19" t="s">
        <v>50</v>
      </c>
    </row>
    <row r="20" spans="1:9" x14ac:dyDescent="0.2">
      <c r="A20" t="s">
        <v>37</v>
      </c>
      <c r="B20">
        <f>B19*0.35</f>
        <v>32.660200962661008</v>
      </c>
      <c r="C20" t="s">
        <v>10</v>
      </c>
      <c r="D20" s="3"/>
      <c r="E20" t="s">
        <v>47</v>
      </c>
      <c r="F20" t="s">
        <v>45</v>
      </c>
      <c r="G20" s="18">
        <f>0.0000000058^2</f>
        <v>3.3639999999999997E-17</v>
      </c>
      <c r="I20" t="s">
        <v>51</v>
      </c>
    </row>
    <row r="21" spans="1:9" x14ac:dyDescent="0.2">
      <c r="A21" t="s">
        <v>38</v>
      </c>
      <c r="B21">
        <f>B13/B18</f>
        <v>6.3185824505262392E-3</v>
      </c>
      <c r="E21" t="s">
        <v>48</v>
      </c>
      <c r="F21" t="s">
        <v>46</v>
      </c>
      <c r="G21" s="18">
        <f>0.0000000058^2</f>
        <v>3.3639999999999997E-17</v>
      </c>
    </row>
    <row r="22" spans="1:9" x14ac:dyDescent="0.2">
      <c r="A22" s="20" t="s">
        <v>17</v>
      </c>
      <c r="B22" s="23">
        <f>1+((1-B6)*(B3^2*B10*B11+2*B3)+B6*(2*B3^2*B10*B21+2*B3))/(50*(2*B3*B11/PI())^2)</f>
        <v>10.57569359744422</v>
      </c>
      <c r="C22" s="20">
        <f>10*LOG(B22)</f>
        <v>10.243088597978758</v>
      </c>
      <c r="D22" s="20" t="s">
        <v>1</v>
      </c>
    </row>
    <row r="23" spans="1:9" ht="17" x14ac:dyDescent="0.2">
      <c r="A23" s="19" t="s">
        <v>63</v>
      </c>
      <c r="B23">
        <f>(2.15-1.4)/B13</f>
        <v>280.47408541493724</v>
      </c>
      <c r="F23" s="20" t="s">
        <v>17</v>
      </c>
      <c r="G23" s="21">
        <f>1+((1-B6)*G20+B6*G21)/(B2^2*4*B9*50)</f>
        <v>5.2028985507246368</v>
      </c>
      <c r="H23" s="23">
        <f>10*LOG(G23)</f>
        <v>7.1624535784106378</v>
      </c>
      <c r="I23" s="20" t="s">
        <v>1</v>
      </c>
    </row>
    <row r="25" spans="1:9" x14ac:dyDescent="0.2">
      <c r="A25" t="s">
        <v>20</v>
      </c>
    </row>
    <row r="26" spans="1:9" x14ac:dyDescent="0.2">
      <c r="A26" t="s">
        <v>21</v>
      </c>
      <c r="B26">
        <v>3.3</v>
      </c>
      <c r="F26" t="s">
        <v>56</v>
      </c>
      <c r="G26" s="18">
        <v>5.4000000000000003E-3</v>
      </c>
    </row>
    <row r="27" spans="1:9" x14ac:dyDescent="0.2">
      <c r="A27" t="s">
        <v>22</v>
      </c>
      <c r="B27">
        <f>B26-B3*B13</f>
        <v>2.2303824645468548</v>
      </c>
      <c r="F27" t="s">
        <v>55</v>
      </c>
      <c r="G27" s="18">
        <v>2E-3</v>
      </c>
    </row>
    <row r="28" spans="1:9" x14ac:dyDescent="0.2">
      <c r="A28" s="1" t="s">
        <v>24</v>
      </c>
      <c r="B28" s="1">
        <v>0.5</v>
      </c>
      <c r="F28" t="s">
        <v>52</v>
      </c>
      <c r="G28">
        <f>1/(2*PI()*2450000000*55)</f>
        <v>1.1811127502181473E-12</v>
      </c>
    </row>
    <row r="29" spans="1:9" x14ac:dyDescent="0.2">
      <c r="A29" t="s">
        <v>23</v>
      </c>
      <c r="B29">
        <f>(B27-B28)/(B13)</f>
        <v>647.10325221576556</v>
      </c>
      <c r="F29" t="s">
        <v>57</v>
      </c>
      <c r="G29" s="18">
        <f>G27/G4</f>
        <v>1.299224025239962E-13</v>
      </c>
    </row>
    <row r="30" spans="1:9" x14ac:dyDescent="0.2">
      <c r="B30">
        <f>1/(2*B5*B18*(3-B28-0.57-0.2*B28))</f>
        <v>8070.1212838352449</v>
      </c>
      <c r="F30" t="s">
        <v>58</v>
      </c>
      <c r="G30" s="18">
        <f>1/G26</f>
        <v>185.18518518518516</v>
      </c>
    </row>
    <row r="31" spans="1:9" x14ac:dyDescent="0.2">
      <c r="A31" t="s">
        <v>16</v>
      </c>
      <c r="B31">
        <f>1/(2*B5*B29*(3-0.5-0.57-0.2*B28))</f>
        <v>5.2778293645622307</v>
      </c>
      <c r="F31" t="s">
        <v>59</v>
      </c>
      <c r="G31" s="18">
        <v>5.4999999999999997E-3</v>
      </c>
      <c r="H31" t="s">
        <v>60</v>
      </c>
    </row>
    <row r="32" spans="1:9" x14ac:dyDescent="0.2">
      <c r="F32" t="s">
        <v>61</v>
      </c>
      <c r="G32" s="18">
        <f>G31/G29</f>
        <v>42332961007.122459</v>
      </c>
    </row>
    <row r="33" spans="1:12" x14ac:dyDescent="0.2">
      <c r="F33" t="s">
        <v>54</v>
      </c>
      <c r="G33" s="18">
        <f>G4</f>
        <v>15393804002.589987</v>
      </c>
    </row>
    <row r="34" spans="1:12" ht="16" thickBot="1" x14ac:dyDescent="0.25">
      <c r="F34" t="s">
        <v>62</v>
      </c>
      <c r="G34" s="18">
        <f>G33^2/(G33^2+G32^2)</f>
        <v>0.11678832116788324</v>
      </c>
    </row>
    <row r="35" spans="1:12" x14ac:dyDescent="0.2">
      <c r="A35" s="4" t="s">
        <v>28</v>
      </c>
      <c r="B35" s="5">
        <v>1.0000000000000001E-5</v>
      </c>
      <c r="F35" t="s">
        <v>64</v>
      </c>
      <c r="G35" s="18">
        <f>4*B9/B23</f>
        <v>5.7074791691779812E-23</v>
      </c>
    </row>
    <row r="36" spans="1:12" x14ac:dyDescent="0.2">
      <c r="A36" s="6" t="s">
        <v>29</v>
      </c>
      <c r="B36" s="7">
        <v>3.4999999999999998E-7</v>
      </c>
      <c r="D36" s="24"/>
      <c r="E36" s="24"/>
      <c r="F36" s="25" t="s">
        <v>65</v>
      </c>
      <c r="G36" s="26">
        <f>G35*G34</f>
        <v>6.6656691026896144E-24</v>
      </c>
    </row>
    <row r="37" spans="1:12" x14ac:dyDescent="0.2">
      <c r="A37" s="6" t="s">
        <v>30</v>
      </c>
      <c r="B37" s="8">
        <v>0.56000000000000005</v>
      </c>
    </row>
    <row r="38" spans="1:12" x14ac:dyDescent="0.2">
      <c r="A38" s="6" t="s">
        <v>32</v>
      </c>
      <c r="B38" s="8">
        <v>1</v>
      </c>
    </row>
    <row r="39" spans="1:12" ht="16" thickBot="1" x14ac:dyDescent="0.25">
      <c r="A39" s="9" t="s">
        <v>31</v>
      </c>
      <c r="B39" s="10">
        <f>B5*(B35/B36)*(B38-B37)^2</f>
        <v>4.4251428571428575E-4</v>
      </c>
    </row>
    <row r="43" spans="1:12" x14ac:dyDescent="0.2">
      <c r="A43" t="s">
        <v>34</v>
      </c>
      <c r="B43" s="11" t="s">
        <v>28</v>
      </c>
      <c r="C43" s="11">
        <v>5.0000000000000004E-6</v>
      </c>
      <c r="D43" s="12"/>
      <c r="E43" s="11" t="s">
        <v>28</v>
      </c>
      <c r="F43" s="11">
        <v>5.0000000000000004E-6</v>
      </c>
      <c r="G43" s="12"/>
      <c r="H43" s="11" t="s">
        <v>28</v>
      </c>
      <c r="I43" s="11">
        <v>5.0000000000000004E-6</v>
      </c>
      <c r="J43" s="12"/>
      <c r="K43" s="11" t="s">
        <v>28</v>
      </c>
      <c r="L43" s="11">
        <v>5.0000000000000004E-6</v>
      </c>
    </row>
    <row r="44" spans="1:12" x14ac:dyDescent="0.2">
      <c r="B44" s="11" t="s">
        <v>29</v>
      </c>
      <c r="C44" s="11">
        <v>3.4999999999999998E-7</v>
      </c>
      <c r="D44" s="12"/>
      <c r="E44" s="11" t="s">
        <v>29</v>
      </c>
      <c r="F44" s="11">
        <v>3.4999999999999998E-7</v>
      </c>
      <c r="G44" s="12"/>
      <c r="H44" s="11" t="s">
        <v>29</v>
      </c>
      <c r="I44" s="11">
        <v>3.4999999999999998E-7</v>
      </c>
      <c r="J44" s="12"/>
      <c r="K44" s="11" t="s">
        <v>29</v>
      </c>
      <c r="L44" s="11">
        <v>3.4999999999999998E-7</v>
      </c>
    </row>
    <row r="45" spans="1:12" x14ac:dyDescent="0.2">
      <c r="B45" s="11" t="s">
        <v>30</v>
      </c>
      <c r="C45" s="11">
        <v>0.56000000000000005</v>
      </c>
      <c r="D45" s="12"/>
      <c r="E45" s="11" t="s">
        <v>30</v>
      </c>
      <c r="F45" s="11">
        <v>0.56000000000000005</v>
      </c>
      <c r="G45" s="12"/>
      <c r="H45" s="11" t="s">
        <v>30</v>
      </c>
      <c r="I45" s="11">
        <v>0.56000000000000005</v>
      </c>
      <c r="J45" s="12"/>
      <c r="K45" s="11" t="s">
        <v>30</v>
      </c>
      <c r="L45" s="11">
        <v>0.56000000000000005</v>
      </c>
    </row>
    <row r="46" spans="1:12" x14ac:dyDescent="0.2">
      <c r="B46" s="11" t="s">
        <v>32</v>
      </c>
      <c r="C46" s="11">
        <v>0.69899999999999995</v>
      </c>
      <c r="D46" s="12"/>
      <c r="E46" s="11" t="s">
        <v>32</v>
      </c>
      <c r="F46" s="11">
        <v>0.8</v>
      </c>
      <c r="G46" s="12"/>
      <c r="H46" s="11" t="s">
        <v>32</v>
      </c>
      <c r="I46" s="11">
        <v>1</v>
      </c>
      <c r="J46" s="12"/>
      <c r="K46" s="11" t="s">
        <v>32</v>
      </c>
      <c r="L46" s="11">
        <v>1.2</v>
      </c>
    </row>
    <row r="47" spans="1:12" x14ac:dyDescent="0.2">
      <c r="B47" s="11" t="s">
        <v>31</v>
      </c>
      <c r="C47" s="11">
        <v>3.1999999999999999E-5</v>
      </c>
      <c r="D47" s="12"/>
      <c r="E47" s="11" t="s">
        <v>31</v>
      </c>
      <c r="F47" s="11">
        <v>8.2000000000000001E-5</v>
      </c>
      <c r="G47" s="12"/>
      <c r="H47" s="11" t="s">
        <v>31</v>
      </c>
      <c r="I47" s="11">
        <v>2.14E-4</v>
      </c>
      <c r="J47" s="12"/>
      <c r="K47" s="11" t="s">
        <v>31</v>
      </c>
      <c r="L47" s="11">
        <v>3.6999999999999999E-4</v>
      </c>
    </row>
    <row r="48" spans="1:12" x14ac:dyDescent="0.2">
      <c r="B48" s="13" t="s">
        <v>33</v>
      </c>
      <c r="C48" s="12">
        <f>C47*(C44/C43)/((C46-C45)^2)</f>
        <v>1.1593602815589269E-4</v>
      </c>
      <c r="D48" s="12"/>
      <c r="E48" s="13" t="s">
        <v>33</v>
      </c>
      <c r="F48" s="12">
        <f>F47*(F44/F43)/((F46-F45)^2)</f>
        <v>9.9652777777777771E-5</v>
      </c>
      <c r="G48" s="12"/>
      <c r="H48" s="13" t="s">
        <v>33</v>
      </c>
      <c r="I48" s="12">
        <f>I47*(I44/I43)/((I46-I45)^2)</f>
        <v>7.7376033057851242E-5</v>
      </c>
      <c r="J48" s="12"/>
      <c r="K48" s="13" t="s">
        <v>33</v>
      </c>
      <c r="L48" s="12">
        <f>L47*(L44/L43)/((L46-L45)^2)</f>
        <v>6.3232421875000016E-5</v>
      </c>
    </row>
    <row r="50" spans="1:12" x14ac:dyDescent="0.2">
      <c r="B50" s="11" t="s">
        <v>28</v>
      </c>
      <c r="C50" s="11">
        <v>9.0000000000000006E-5</v>
      </c>
      <c r="D50" s="12"/>
      <c r="E50" s="11" t="s">
        <v>28</v>
      </c>
      <c r="F50" s="11">
        <v>9.0000000000000006E-5</v>
      </c>
      <c r="G50" s="12"/>
      <c r="H50" s="11" t="s">
        <v>28</v>
      </c>
      <c r="I50" s="11">
        <v>9.0000000000000006E-5</v>
      </c>
      <c r="J50" s="12"/>
      <c r="K50" s="11" t="s">
        <v>28</v>
      </c>
      <c r="L50" s="11">
        <v>9.0000000000000006E-5</v>
      </c>
    </row>
    <row r="51" spans="1:12" x14ac:dyDescent="0.2">
      <c r="B51" s="11" t="s">
        <v>29</v>
      </c>
      <c r="C51" s="11">
        <v>3.4999999999999998E-7</v>
      </c>
      <c r="D51" s="12"/>
      <c r="E51" s="11" t="s">
        <v>29</v>
      </c>
      <c r="F51" s="11">
        <v>3.4999999999999998E-7</v>
      </c>
      <c r="G51" s="12"/>
      <c r="H51" s="11" t="s">
        <v>29</v>
      </c>
      <c r="I51" s="11">
        <v>3.4999999999999998E-7</v>
      </c>
      <c r="J51" s="12"/>
      <c r="K51" s="11" t="s">
        <v>29</v>
      </c>
      <c r="L51" s="11">
        <v>3.4999999999999998E-7</v>
      </c>
    </row>
    <row r="52" spans="1:12" x14ac:dyDescent="0.2">
      <c r="B52" s="11" t="s">
        <v>30</v>
      </c>
      <c r="C52" s="11">
        <v>0.56000000000000005</v>
      </c>
      <c r="D52" s="12"/>
      <c r="E52" s="11" t="s">
        <v>30</v>
      </c>
      <c r="F52" s="11">
        <v>0.56000000000000005</v>
      </c>
      <c r="G52" s="12"/>
      <c r="H52" s="11" t="s">
        <v>30</v>
      </c>
      <c r="I52" s="11">
        <v>0.56000000000000005</v>
      </c>
      <c r="J52" s="12"/>
      <c r="K52" s="11" t="s">
        <v>30</v>
      </c>
      <c r="L52" s="11">
        <v>0.56000000000000005</v>
      </c>
    </row>
    <row r="53" spans="1:12" x14ac:dyDescent="0.2">
      <c r="B53" s="11" t="s">
        <v>32</v>
      </c>
      <c r="C53" s="11">
        <v>0.69899999999999995</v>
      </c>
      <c r="D53" s="12"/>
      <c r="E53" s="11" t="s">
        <v>32</v>
      </c>
      <c r="F53" s="11">
        <v>0.8</v>
      </c>
      <c r="G53" s="12"/>
      <c r="H53" s="11" t="s">
        <v>32</v>
      </c>
      <c r="I53" s="11">
        <v>1</v>
      </c>
      <c r="J53" s="12"/>
      <c r="K53" s="11" t="s">
        <v>32</v>
      </c>
      <c r="L53" s="11">
        <v>1.2</v>
      </c>
    </row>
    <row r="54" spans="1:12" x14ac:dyDescent="0.2">
      <c r="B54" s="11" t="s">
        <v>31</v>
      </c>
      <c r="C54" s="11">
        <v>5.7300000000000005E-4</v>
      </c>
      <c r="D54" s="12"/>
      <c r="E54" s="11" t="s">
        <v>31</v>
      </c>
      <c r="F54" s="11">
        <v>1.4599999999999999E-3</v>
      </c>
      <c r="G54" s="12"/>
      <c r="H54" s="11" t="s">
        <v>31</v>
      </c>
      <c r="I54" s="11">
        <v>3.8999999999999998E-3</v>
      </c>
      <c r="J54" s="12"/>
      <c r="K54" s="11" t="s">
        <v>31</v>
      </c>
      <c r="L54" s="11">
        <v>6.7299999999999999E-3</v>
      </c>
    </row>
    <row r="55" spans="1:12" x14ac:dyDescent="0.2">
      <c r="B55" s="13" t="s">
        <v>33</v>
      </c>
      <c r="C55" s="12">
        <f>C54*(C51/C50)/((C53-C52)^2)</f>
        <v>1.153321946759141E-4</v>
      </c>
      <c r="D55" s="12"/>
      <c r="E55" s="13" t="s">
        <v>33</v>
      </c>
      <c r="F55" s="12">
        <f>F54*(F51/F50)/((F53-F52)^2)</f>
        <v>9.8572530864197508E-5</v>
      </c>
      <c r="G55" s="12"/>
      <c r="H55" s="13" t="s">
        <v>33</v>
      </c>
      <c r="I55" s="12">
        <f>I54*(I51/I50)/((I53-I52)^2)</f>
        <v>7.8340220385674932E-5</v>
      </c>
      <c r="J55" s="12"/>
      <c r="K55" s="13" t="s">
        <v>33</v>
      </c>
      <c r="L55" s="12">
        <f>L54*(L51/L50)/((L53-L52)^2)</f>
        <v>6.3897026909722228E-5</v>
      </c>
    </row>
    <row r="58" spans="1:12" x14ac:dyDescent="0.2">
      <c r="A58" t="s">
        <v>35</v>
      </c>
      <c r="B58" s="11" t="s">
        <v>28</v>
      </c>
      <c r="C58" s="11">
        <v>5.0000000000000004E-6</v>
      </c>
      <c r="E58" s="11" t="s">
        <v>28</v>
      </c>
      <c r="F58" s="11">
        <v>5.0000000000000004E-6</v>
      </c>
      <c r="H58" s="11" t="s">
        <v>28</v>
      </c>
      <c r="I58" s="11">
        <v>5.0000000000000004E-6</v>
      </c>
      <c r="K58" s="11" t="s">
        <v>28</v>
      </c>
      <c r="L58" s="11">
        <v>5.0000000000000004E-6</v>
      </c>
    </row>
    <row r="59" spans="1:12" x14ac:dyDescent="0.2">
      <c r="B59" s="11" t="s">
        <v>29</v>
      </c>
      <c r="C59" s="11">
        <v>3.4999999999999998E-7</v>
      </c>
      <c r="E59" s="11" t="s">
        <v>29</v>
      </c>
      <c r="F59" s="11">
        <v>3.4999999999999998E-7</v>
      </c>
      <c r="H59" s="11" t="s">
        <v>29</v>
      </c>
      <c r="I59" s="11">
        <v>3.4999999999999998E-7</v>
      </c>
      <c r="K59" s="11" t="s">
        <v>29</v>
      </c>
      <c r="L59" s="11">
        <v>3.4999999999999998E-7</v>
      </c>
    </row>
    <row r="60" spans="1:12" x14ac:dyDescent="0.2">
      <c r="B60" s="11" t="s">
        <v>30</v>
      </c>
      <c r="C60" s="11">
        <v>0.56000000000000005</v>
      </c>
      <c r="E60" s="11" t="s">
        <v>30</v>
      </c>
      <c r="F60" s="11">
        <v>0.56000000000000005</v>
      </c>
      <c r="H60" s="11" t="s">
        <v>30</v>
      </c>
      <c r="I60" s="11">
        <v>0.56000000000000005</v>
      </c>
      <c r="K60" s="11" t="s">
        <v>30</v>
      </c>
      <c r="L60" s="11">
        <v>0.56000000000000005</v>
      </c>
    </row>
    <row r="61" spans="1:12" x14ac:dyDescent="0.2">
      <c r="B61" s="11" t="s">
        <v>32</v>
      </c>
      <c r="C61" s="11">
        <v>0.69899999999999995</v>
      </c>
      <c r="E61" s="11" t="s">
        <v>32</v>
      </c>
      <c r="F61" s="11">
        <v>0.8</v>
      </c>
      <c r="H61" s="11" t="s">
        <v>32</v>
      </c>
      <c r="I61" s="11">
        <v>1</v>
      </c>
      <c r="K61" s="11" t="s">
        <v>32</v>
      </c>
      <c r="L61" s="11">
        <v>1.2</v>
      </c>
    </row>
    <row r="62" spans="1:12" x14ac:dyDescent="0.2">
      <c r="B62" s="11" t="s">
        <v>31</v>
      </c>
      <c r="C62" s="11">
        <v>3.93E-5</v>
      </c>
      <c r="E62" s="11" t="s">
        <v>31</v>
      </c>
      <c r="F62" s="11">
        <v>9.48E-5</v>
      </c>
      <c r="H62" s="11" t="s">
        <v>31</v>
      </c>
      <c r="I62" s="11">
        <v>2.4000000000000001E-4</v>
      </c>
      <c r="K62" s="11" t="s">
        <v>31</v>
      </c>
      <c r="L62" s="11">
        <v>4.1100000000000002E-4</v>
      </c>
    </row>
    <row r="63" spans="1:12" x14ac:dyDescent="0.2">
      <c r="B63" s="13" t="s">
        <v>33</v>
      </c>
      <c r="C63" s="12">
        <f>C62*(C59/C58)/((C61-C60)^2)</f>
        <v>1.4238393457895572E-4</v>
      </c>
      <c r="E63" s="13" t="s">
        <v>33</v>
      </c>
      <c r="F63" s="12">
        <f>F62*(F59/F58)/((F61-F60)^2)</f>
        <v>1.1520833333333333E-4</v>
      </c>
      <c r="H63" s="13" t="s">
        <v>33</v>
      </c>
      <c r="I63" s="12">
        <f>I62*(I59/I58)/((I61-I60)^2)</f>
        <v>8.6776859504132238E-5</v>
      </c>
      <c r="K63" s="13" t="s">
        <v>33</v>
      </c>
      <c r="L63" s="12">
        <f>L62*(L59/L58)/((L61-L60)^2)</f>
        <v>7.0239257812500016E-5</v>
      </c>
    </row>
    <row r="73" spans="1:1" ht="21" x14ac:dyDescent="0.25">
      <c r="A73" s="14" t="s">
        <v>36</v>
      </c>
    </row>
  </sheetData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Gc 10dB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2021-11-26T11:15:52Z</dcterms:modified>
</cp:coreProperties>
</file>