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1035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G28" i="1" l="1"/>
  <c r="F27" i="1"/>
  <c r="F28" i="1"/>
  <c r="D29" i="1"/>
  <c r="D28" i="1"/>
  <c r="D27" i="1"/>
  <c r="B21" i="1" l="1"/>
  <c r="F18" i="1"/>
  <c r="F10" i="1"/>
  <c r="F15" i="1" s="1"/>
  <c r="F17" i="1" s="1"/>
  <c r="B19" i="1"/>
  <c r="B5" i="1"/>
  <c r="H9" i="1" l="1"/>
  <c r="F11" i="1"/>
  <c r="B9" i="1"/>
  <c r="F12" i="1"/>
  <c r="F13" i="1" s="1"/>
  <c r="F14" i="1" l="1"/>
  <c r="F16" i="1" s="1"/>
  <c r="F19" i="1" s="1"/>
  <c r="B10" i="1"/>
  <c r="B11" i="1" s="1"/>
  <c r="B12" i="1" s="1"/>
  <c r="B13" i="1" s="1"/>
  <c r="B16" i="1"/>
  <c r="B15" i="1"/>
  <c r="F20" i="1" l="1"/>
  <c r="F22" i="1" s="1"/>
  <c r="F21" i="1"/>
  <c r="B17" i="1"/>
  <c r="B20" i="1"/>
  <c r="B22" i="1" s="1"/>
  <c r="B23" i="1"/>
</calcChain>
</file>

<file path=xl/sharedStrings.xml><?xml version="1.0" encoding="utf-8"?>
<sst xmlns="http://schemas.openxmlformats.org/spreadsheetml/2006/main" count="42" uniqueCount="41">
  <si>
    <t>f0</t>
  </si>
  <si>
    <t>R</t>
  </si>
  <si>
    <t>VRF</t>
  </si>
  <si>
    <t>RL</t>
  </si>
  <si>
    <t>Vdd</t>
  </si>
  <si>
    <t>Pmax (dBm)</t>
  </si>
  <si>
    <t>Pmax W)</t>
  </si>
  <si>
    <t>Q</t>
  </si>
  <si>
    <t>C'1</t>
  </si>
  <si>
    <t>C1</t>
  </si>
  <si>
    <t>L</t>
  </si>
  <si>
    <t>C2</t>
  </si>
  <si>
    <t>Calcul du réseau</t>
  </si>
  <si>
    <t>Calcul des courants</t>
  </si>
  <si>
    <t>IDC</t>
  </si>
  <si>
    <t>IRF</t>
  </si>
  <si>
    <t>Imax</t>
  </si>
  <si>
    <t>Calcul de Vgs0 et de W(MOS)</t>
  </si>
  <si>
    <t>Kn</t>
  </si>
  <si>
    <t>Vdsmin</t>
  </si>
  <si>
    <t>Vgs0</t>
  </si>
  <si>
    <t>W</t>
  </si>
  <si>
    <t>Lmin</t>
  </si>
  <si>
    <t>h</t>
  </si>
  <si>
    <t>W/Lmin</t>
  </si>
  <si>
    <t>Classe C</t>
  </si>
  <si>
    <t>IDS[1]</t>
  </si>
  <si>
    <t>Im</t>
  </si>
  <si>
    <t>Teta rds</t>
  </si>
  <si>
    <t>Teta deg</t>
  </si>
  <si>
    <t>IDS[0]</t>
  </si>
  <si>
    <t>a</t>
  </si>
  <si>
    <t>b</t>
  </si>
  <si>
    <t>alpha</t>
  </si>
  <si>
    <t>c</t>
  </si>
  <si>
    <t>Delta</t>
  </si>
  <si>
    <t>b1</t>
  </si>
  <si>
    <t>b2</t>
  </si>
  <si>
    <t>Vgs01</t>
  </si>
  <si>
    <t>Vgs02</t>
  </si>
  <si>
    <t>Vtn0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</si>
</sst>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Symbol"/>
      <charset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1" fillId="0" borderId="0" xfId="0" applyNumberFormat="1" applyFont="1"/>
    <xf numFmtId="0" fontId="0" fillId="2" borderId="0" xfId="0" applyFill="1"/>
    <xf numFmtId="11" fontId="0" fillId="2" borderId="0" xfId="0" applyNumberFormat="1" applyFill="1"/>
    <xf numFmtId="0" fontId="3" fillId="0" borderId="0" xfId="0" applyFont="1" applyFill="1" applyAlignment="1"/>
    <xf numFmtId="0" fontId="0" fillId="4" borderId="0" xfId="0" applyFill="1"/>
    <xf numFmtId="9" fontId="0" fillId="0" borderId="0" xfId="1" applyFont="1"/>
    <xf numFmtId="0" fontId="2" fillId="3" borderId="0" xfId="0" applyFont="1" applyFill="1" applyAlignme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29" sqref="G29"/>
    </sheetView>
  </sheetViews>
  <sheetFormatPr baseColWidth="10" defaultColWidth="9.140625" defaultRowHeight="15" x14ac:dyDescent="0.25"/>
  <cols>
    <col min="1" max="1" width="11.140625" customWidth="1"/>
    <col min="2" max="2" width="16.85546875" customWidth="1"/>
    <col min="6" max="6" width="12" bestFit="1" customWidth="1"/>
  </cols>
  <sheetData>
    <row r="1" spans="1:8" x14ac:dyDescent="0.25">
      <c r="A1" s="6" t="s">
        <v>0</v>
      </c>
      <c r="B1" s="7">
        <v>2450000000</v>
      </c>
      <c r="C1" s="6" t="s">
        <v>18</v>
      </c>
      <c r="D1" s="7">
        <v>8.0000000000000007E-5</v>
      </c>
    </row>
    <row r="2" spans="1:8" x14ac:dyDescent="0.25">
      <c r="A2" s="6" t="s">
        <v>4</v>
      </c>
      <c r="B2" s="7">
        <v>3.3</v>
      </c>
      <c r="C2" s="6" t="s">
        <v>40</v>
      </c>
      <c r="D2" s="6">
        <v>0.56999999999999995</v>
      </c>
    </row>
    <row r="3" spans="1:8" x14ac:dyDescent="0.25">
      <c r="A3" s="6" t="s">
        <v>3</v>
      </c>
      <c r="B3" s="7">
        <v>50</v>
      </c>
      <c r="C3" s="6" t="s">
        <v>22</v>
      </c>
      <c r="D3" s="7">
        <v>3.4999999999999998E-7</v>
      </c>
    </row>
    <row r="4" spans="1:8" x14ac:dyDescent="0.25">
      <c r="A4" s="6" t="s">
        <v>5</v>
      </c>
      <c r="B4" s="7">
        <v>14</v>
      </c>
      <c r="C4" s="6"/>
      <c r="D4" s="6"/>
    </row>
    <row r="5" spans="1:8" x14ac:dyDescent="0.25">
      <c r="A5" s="6" t="s">
        <v>6</v>
      </c>
      <c r="B5" s="7">
        <f>(0.001)*(10^(B4/10))</f>
        <v>2.5118864315095798E-2</v>
      </c>
      <c r="C5" s="6"/>
      <c r="D5" s="6"/>
    </row>
    <row r="6" spans="1:8" x14ac:dyDescent="0.25">
      <c r="A6" s="6" t="s">
        <v>2</v>
      </c>
      <c r="B6" s="7">
        <v>2.9</v>
      </c>
      <c r="C6" s="7"/>
      <c r="D6" s="6"/>
    </row>
    <row r="7" spans="1:8" x14ac:dyDescent="0.25">
      <c r="A7" s="6" t="s">
        <v>10</v>
      </c>
      <c r="B7" s="7">
        <v>2.0000000000000001E-9</v>
      </c>
      <c r="C7" s="6"/>
      <c r="D7" s="6"/>
    </row>
    <row r="8" spans="1:8" x14ac:dyDescent="0.25">
      <c r="A8" s="11" t="s">
        <v>12</v>
      </c>
      <c r="B8" s="11"/>
      <c r="E8" t="s">
        <v>25</v>
      </c>
    </row>
    <row r="9" spans="1:8" x14ac:dyDescent="0.25">
      <c r="A9" s="2" t="s">
        <v>1</v>
      </c>
      <c r="B9" s="1">
        <f xml:space="preserve"> (B6^2)/(2*B5)</f>
        <v>167.40406521774563</v>
      </c>
      <c r="E9" s="9" t="s">
        <v>29</v>
      </c>
      <c r="F9" s="9">
        <v>60</v>
      </c>
      <c r="H9" s="1">
        <f>SIN(F10)</f>
        <v>0.8660254037844386</v>
      </c>
    </row>
    <row r="10" spans="1:8" x14ac:dyDescent="0.25">
      <c r="A10" s="2" t="s">
        <v>7</v>
      </c>
      <c r="B10">
        <f>((B9/B3)-1)^0.5</f>
        <v>1.5323450343688632</v>
      </c>
      <c r="E10" s="2" t="s">
        <v>28</v>
      </c>
      <c r="F10" s="2">
        <f>F9*PI()/180</f>
        <v>1.0471975511965976</v>
      </c>
    </row>
    <row r="11" spans="1:8" x14ac:dyDescent="0.25">
      <c r="A11" s="2" t="s">
        <v>9</v>
      </c>
      <c r="B11">
        <f xml:space="preserve"> (B10*B3*2*PI()*B1)^(-1)</f>
        <v>8.4786650271300135E-13</v>
      </c>
      <c r="E11" t="s">
        <v>1</v>
      </c>
      <c r="F11" s="1">
        <f>B6^2/(2*B5)</f>
        <v>167.40406521774563</v>
      </c>
    </row>
    <row r="12" spans="1:8" x14ac:dyDescent="0.25">
      <c r="A12" s="2" t="s">
        <v>8</v>
      </c>
      <c r="B12" s="1">
        <f>B11*(B10^2)/(1+B10^2)</f>
        <v>5.9462698263021087E-13</v>
      </c>
      <c r="E12" t="s">
        <v>26</v>
      </c>
      <c r="F12">
        <f>SQRT(2*B5/F11)</f>
        <v>1.7323354700066067E-2</v>
      </c>
    </row>
    <row r="13" spans="1:8" x14ac:dyDescent="0.25">
      <c r="A13" s="2" t="s">
        <v>11</v>
      </c>
      <c r="B13" s="1">
        <f>(1/(B7*4*PI()*PI()*B1^2))-B12</f>
        <v>1.5153518520707007E-12</v>
      </c>
      <c r="E13" t="s">
        <v>27</v>
      </c>
      <c r="F13">
        <f>F12*2*PI()/((F10-SIN(F10))/(1-COS(F10/2)))</f>
        <v>8.0490178576896471E-2</v>
      </c>
    </row>
    <row r="14" spans="1:8" x14ac:dyDescent="0.25">
      <c r="A14" s="11" t="s">
        <v>13</v>
      </c>
      <c r="B14" s="11"/>
      <c r="E14" t="s">
        <v>30</v>
      </c>
      <c r="F14">
        <f>(F13/PI())*((SIN(F10/2)-(F10/2)*COS(F10/2))/(1-COS(F10/2)))</f>
        <v>8.9020848536124578E-3</v>
      </c>
    </row>
    <row r="15" spans="1:8" x14ac:dyDescent="0.25">
      <c r="A15" t="s">
        <v>14</v>
      </c>
      <c r="B15" s="1">
        <f>B2/B9</f>
        <v>1.9712782934557936E-2</v>
      </c>
      <c r="E15" t="s">
        <v>33</v>
      </c>
      <c r="F15">
        <f>((SIN(F10/2)-(F10/2)*COS(F10/2))/(1-COS(F10/2)))</f>
        <v>0.34745511653976258</v>
      </c>
    </row>
    <row r="16" spans="1:8" x14ac:dyDescent="0.25">
      <c r="A16" t="s">
        <v>15</v>
      </c>
      <c r="B16" s="1">
        <f>B6/B9</f>
        <v>1.7323354700066067E-2</v>
      </c>
      <c r="E16" t="s">
        <v>31</v>
      </c>
      <c r="F16">
        <f>F13/F14</f>
        <v>9.0417222370368258</v>
      </c>
    </row>
    <row r="17" spans="1:7" x14ac:dyDescent="0.25">
      <c r="A17" t="s">
        <v>16</v>
      </c>
      <c r="B17" s="1">
        <f>B15+B16</f>
        <v>3.7036137634624003E-2</v>
      </c>
      <c r="E17" t="s">
        <v>32</v>
      </c>
      <c r="F17">
        <f>-(B2-B6)*PI()/F15</f>
        <v>-3.6166888948147298</v>
      </c>
    </row>
    <row r="18" spans="1:7" x14ac:dyDescent="0.25">
      <c r="A18" s="11" t="s">
        <v>17</v>
      </c>
      <c r="B18" s="11"/>
      <c r="E18" t="s">
        <v>34</v>
      </c>
      <c r="F18">
        <f>(B2-B6)*0.56</f>
        <v>0.22399999999999998</v>
      </c>
    </row>
    <row r="19" spans="1:7" x14ac:dyDescent="0.25">
      <c r="A19" s="3" t="s">
        <v>19</v>
      </c>
      <c r="B19" s="4">
        <f>B2-B6</f>
        <v>0.39999999999999991</v>
      </c>
      <c r="E19" t="s">
        <v>35</v>
      </c>
      <c r="F19">
        <f>F17^2-4*F16*F18</f>
        <v>4.9790554374911959</v>
      </c>
    </row>
    <row r="20" spans="1:7" x14ac:dyDescent="0.25">
      <c r="A20" s="3" t="s">
        <v>20</v>
      </c>
      <c r="B20" s="5">
        <f>D2+(B15/B17)*4*B19</f>
        <v>1.4216129032258062</v>
      </c>
      <c r="E20" t="s">
        <v>36</v>
      </c>
      <c r="F20">
        <f>(-F17-SQRT(F19))/(2*F18)</f>
        <v>3.0922079881681701</v>
      </c>
    </row>
    <row r="21" spans="1:7" x14ac:dyDescent="0.25">
      <c r="A21" s="3" t="s">
        <v>24</v>
      </c>
      <c r="B21" s="1">
        <f>B15/(D1*(B20-D2)^2)</f>
        <v>339.76096906763269</v>
      </c>
      <c r="E21" t="s">
        <v>37</v>
      </c>
      <c r="F21">
        <f>(-F17+SQRT(F19))/(2*F18)</f>
        <v>13.053724577969017</v>
      </c>
    </row>
    <row r="22" spans="1:7" x14ac:dyDescent="0.25">
      <c r="A22" s="3" t="s">
        <v>21</v>
      </c>
      <c r="B22" s="1">
        <f>B21*D3</f>
        <v>1.1891633917367143E-4</v>
      </c>
      <c r="E22" t="s">
        <v>38</v>
      </c>
      <c r="F22">
        <f>F20+0.56</f>
        <v>3.6522079881681702</v>
      </c>
    </row>
    <row r="23" spans="1:7" x14ac:dyDescent="0.25">
      <c r="A23" s="8" t="s">
        <v>23</v>
      </c>
      <c r="B23" s="10">
        <f>B5/(B15*B2)</f>
        <v>0.38613406795224986</v>
      </c>
      <c r="E23" t="s">
        <v>39</v>
      </c>
    </row>
    <row r="27" spans="1:7" x14ac:dyDescent="0.25">
      <c r="D27">
        <f>1.32*1.32/100</f>
        <v>1.7424000000000002E-2</v>
      </c>
      <c r="F27">
        <f>(4.48/2)^2/(2*167)</f>
        <v>1.5022754491017967E-2</v>
      </c>
    </row>
    <row r="28" spans="1:7" x14ac:dyDescent="0.25">
      <c r="D28">
        <f>10*LOG(D27)+30</f>
        <v>12.411478624116999</v>
      </c>
      <c r="F28">
        <f>10*LOG(F27)+30</f>
        <v>11.767495698567611</v>
      </c>
      <c r="G28">
        <f>1/0.0117</f>
        <v>85.470085470085465</v>
      </c>
    </row>
    <row r="29" spans="1:7" x14ac:dyDescent="0.25">
      <c r="D29">
        <f>2.45*2.45/167/2</f>
        <v>1.7971556886227549E-2</v>
      </c>
    </row>
  </sheetData>
  <mergeCells count="3">
    <mergeCell ref="A8:B8"/>
    <mergeCell ref="A14:B14"/>
    <mergeCell ref="A18:B18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2019-12-19T14:23:20Z</dcterms:modified>
</cp:coreProperties>
</file>