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8"/>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5C2E87B3-A0CB-4C63-865C-FFCAFB2E5326}" xr6:coauthVersionLast="47" xr6:coauthVersionMax="47" xr10:uidLastSave="{00000000-0000-0000-0000-000000000000}"/>
  <bookViews>
    <workbookView xWindow="-120" yWindow="-120" windowWidth="29040" windowHeight="15840" tabRatio="500" firstSheet="1"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45" i="8" l="1"/>
  <c r="B51" i="8"/>
  <c r="I57" i="6"/>
  <c r="I56" i="6"/>
  <c r="I55" i="6"/>
  <c r="I54" i="6"/>
  <c r="I53" i="6"/>
  <c r="I37" i="6"/>
  <c r="I36" i="6"/>
  <c r="I35" i="6"/>
  <c r="I34" i="6"/>
  <c r="I25" i="6"/>
  <c r="I24" i="6"/>
  <c r="I23" i="6"/>
  <c r="I13" i="6"/>
  <c r="I12" i="6"/>
  <c r="I11" i="6"/>
  <c r="I10" i="6"/>
  <c r="I9" i="6"/>
  <c r="I31" i="6"/>
  <c r="I18" i="6"/>
  <c r="F45" i="6"/>
  <c r="F47" i="6"/>
  <c r="F49" i="6"/>
  <c r="F44" i="6"/>
  <c r="F42" i="6"/>
  <c r="F17" i="6"/>
  <c r="F16" i="6"/>
  <c r="B28" i="8"/>
  <c r="B34" i="8"/>
  <c r="B31" i="8"/>
  <c r="B30" i="8"/>
  <c r="F13" i="6"/>
  <c r="F12" i="6"/>
  <c r="F54" i="6"/>
  <c r="F35" i="6"/>
  <c r="F36" i="6"/>
  <c r="F55" i="6"/>
  <c r="F57" i="6"/>
  <c r="F56" i="6"/>
  <c r="F53" i="6"/>
  <c r="F37" i="6"/>
  <c r="F34" i="6"/>
  <c r="F25" i="6"/>
  <c r="F24" i="6"/>
  <c r="F23" i="6"/>
  <c r="F11" i="6"/>
  <c r="F10" i="6"/>
  <c r="F9" i="6"/>
  <c r="B10" i="8"/>
  <c r="B15" i="8"/>
  <c r="B11" i="8"/>
  <c r="C9" i="6"/>
  <c r="C34" i="6"/>
  <c r="B16" i="8"/>
  <c r="C45" i="6"/>
  <c r="C44" i="6"/>
  <c r="C48" i="6"/>
  <c r="B19" i="8"/>
  <c r="B13" i="8"/>
  <c r="C54" i="6"/>
  <c r="C35" i="6"/>
  <c r="C37" i="6"/>
  <c r="C24" i="6"/>
  <c r="C23" i="6"/>
  <c r="C12" i="6"/>
  <c r="C11" i="6"/>
  <c r="C17" i="8"/>
  <c r="B17" i="8"/>
  <c r="B9" i="8"/>
  <c r="C57" i="6"/>
  <c r="C56" i="6"/>
  <c r="C55" i="6"/>
  <c r="C53" i="6"/>
  <c r="C36" i="6"/>
  <c r="C25" i="6"/>
  <c r="C46" i="6"/>
  <c r="C43" i="6"/>
  <c r="C31" i="6"/>
  <c r="C30" i="6"/>
  <c r="C29" i="6"/>
  <c r="C18" i="6"/>
  <c r="C16" i="6"/>
  <c r="B18" i="8"/>
  <c r="B14" i="8"/>
  <c r="E12" i="8"/>
  <c r="B12" i="8"/>
  <c r="C13" i="6"/>
  <c r="C10" i="6"/>
  <c r="E14" i="8"/>
  <c r="E48" i="8"/>
  <c r="E49" i="8"/>
  <c r="E50" i="8"/>
  <c r="E51" i="8"/>
  <c r="E52" i="8"/>
  <c r="E27" i="8"/>
  <c r="E28" i="8"/>
  <c r="E29" i="8"/>
  <c r="E30" i="8"/>
  <c r="E31" i="8"/>
  <c r="E32" i="8"/>
  <c r="E33" i="8"/>
  <c r="E34" i="8"/>
  <c r="E35" i="8"/>
  <c r="E11"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<sst xmlns="http://schemas.openxmlformats.org/spreadsheetml/2006/main" count="329" uniqueCount="219">
  <si>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</si>
  <si>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</si>
  <si>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</si>
  <si>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</si>
  <si>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</si>
  <si>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</si>
  <si>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</si>
  <si>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</si>
  <si>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</si>
  <si>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</si>
  <si>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</si>
  <si>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</si>
  <si>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</si>
  <si>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</si>
  <si>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</si>
  <si>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</si>
  <si>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</si>
  <si>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</si>
  <si>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</si>
  <si>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</si>
  <si>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</si>
  <si>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EndGameService
code mort: mock-board.service.spec.ts 
-0.5 GameService
 -0.5 PlayGenerator
--- Recorrection ---
-0.5 EndGameService
-0.5 GameService</t>
  </si>
  <si>
    <t>-0 Client:BoardComponent semble faire plusieurs choses, bougez votre logique dans un service</t>
  </si>
  <si>
    <t>1.2 Nom</t>
  </si>
  <si>
    <t>Le nom de la classe est approprié. 
Utilisation appropriée des suffixes ({..}Component,{..}Controller, {..}Service, etc.). 
Le format à utiliser est le PascalCase</t>
  </si>
  <si>
    <t>1.3 Attributs</t>
  </si>
  <si>
    <t>La classe ne comporte pas d'attributs inutiles (incluant des getter/setter inutiles). 
Les attributs ne représentent que des états de la classe. 
Un attribut utilisé seulement dans les tests ne devrait pas exister.</t>
  </si>
  <si>
    <t>-0.5 ReserveTesting:setReserve</t>
  </si>
  <si>
    <t>-0.2 Server:DatabaseService.database</t>
  </si>
  <si>
    <t>1.4 Accessibilité</t>
  </si>
  <si>
    <t>La classe minimise l'accessibilité des membres (public/private/protected)</t>
  </si>
  <si>
    <t>-0.25 CommandService:placeWordCommandRegex
-0.25 GameService:playerRackPoint
-0.25 GridService:drawSymbol
-0.25 VirtualPlayerService:endTurn</t>
  </si>
  <si>
    <t>Client:CommandService:wordRegex, rackRegex, ...</t>
  </si>
  <si>
    <t>-0.2 Server:ReserveHandler.reserve
-0 Server:BestStatsHandler.baseScore</t>
  </si>
  <si>
    <t>1.5 Valeur par défaut</t>
  </si>
  <si>
    <t>Les valeurs par défaut des attributs de la classe sont initialisés de manière constante (soit dans le constructeur partout, soit à la définition)</t>
  </si>
  <si>
    <t>-0.5 CommunicationBoxComponent
-0.5 GamePageComponent:code inutile pour les services
-0.5 GridService 
-0.5 MessagingService
-0.5 TimeService</t>
  </si>
  <si>
    <t>-0.2 Client:BoardComponent
-0.2 Client:RackComponent
-0.2 Client:GameService
-0 Client:InitGameComponent.constructor:58</t>
  </si>
  <si>
    <t>-0 Client:BestScoreComponent
-0 Client:RackComponent
-0 Client:GamePageComponent
-0 Client:MainPageComponent
-0.2 Client:AdminService
-0.2 Client:GoalService</t>
  </si>
  <si>
    <t>Sous-total</t>
  </si>
  <si>
    <t>2. Qualité des fonctions</t>
  </si>
  <si>
    <t>KL</t>
  </si>
  <si>
    <t>2.1 Nom</t>
  </si>
  <si>
    <t>Les noms des fonctions sont précis et décrivent les tâches voulues. 
Le format à utiliser doit être uniforme dans tous les fichiers (camelCase, PascalCase, ...)</t>
  </si>
  <si>
    <t>-0.25  game-page.component.ts:78</t>
  </si>
  <si>
    <t>-0.25 place-letter.service.ts:samePosition() ?
-0.25 reserve-handler.ts:drawLetter ?</t>
  </si>
  <si>
    <t>2.2 Utilité</t>
  </si>
  <si>
    <t xml:space="preserve">Chaque fonction n'a qu'une seule utilité, elle ne peut pas être fragmentée en plusieurs fonctions et elle est facilement lisible. </t>
  </si>
  <si>
    <t>-0.5 human.player.ts:20</t>
  </si>
  <si>
    <t>2.3 Nombre de paramètres</t>
  </si>
  <si>
    <t>Les fonctions minimisent les paramètres en entrée (pas plus de trois).
Utilisation d'interfaces ou de classe pour des paramètres pouvant être regroupé logiquement.</t>
  </si>
  <si>
    <t>-0.25 messaging.service.ts:13</t>
  </si>
  <si>
    <t>-0.25 play-generator.ts: findWord() 4 parametres</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</si>
  <si>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</si>
  <si>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</si>
  <si>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</si>
  <si>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</si>
  <si>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</si>
  <si>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</si>
  <si>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</si>
  <si>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-0.25 BoardValidator:70
-0.25 BoardService:62</t>
  </si>
  <si>
    <t>-0 Server:BoardHandler.retrieveNewLetters</t>
  </si>
  <si>
    <t>-0.25 Server:BoardHandler.retrieveNewLetters
-0.25 Server:DatabaseService.run
-0 Server:DictionnaryService.getWords</t>
  </si>
  <si>
    <t>3.2 Valeurs limites</t>
  </si>
  <si>
    <t>Toute fonction doit gérer les valeurs limites de leurs paramètres</t>
  </si>
  <si>
    <t>-0.25 CommandService:parseInput</t>
  </si>
  <si>
    <t>3.3 Code asynchrone</t>
  </si>
  <si>
    <t>Tout code asynchrone (Promise, Observable ou Event) doit être géré adéquatement.</t>
  </si>
  <si>
    <t>Server:SessionHandler, Server:PlayerHandler, Good job</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</si>
  <si>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</si>
  <si>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</si>
  <si>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</si>
  <si>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</si>
  <si>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</si>
  <si>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-0.25 init-solo-mode.component.ts:48; botNames inutile</t>
  </si>
  <si>
    <t>4.3 Variables locales</t>
  </si>
  <si>
    <t xml:space="preserve">L'utilisation d'une variable locale (let ou const) doit être justifiée par son utilisation. </t>
  </si>
  <si>
    <t>-025 main-page.component.ts: 11; variable non utilisée</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</si>
  <si>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</si>
  <si>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</si>
  <si>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-0.25 lettes.ts:6</t>
  </si>
  <si>
    <t>-0.25 virtual.player.service.ts: _gameConfig, _id</t>
  </si>
  <si>
    <t>5. Expression booléennes</t>
  </si>
  <si>
    <t>5.1 Expressions</t>
  </si>
  <si>
    <t>Les expression booléennes ne sont pas comparées à true ou false</t>
  </si>
  <si>
    <t>-0.25 GamePageComponent:96, 106</t>
  </si>
  <si>
    <t>5.2 Logique booléenne négative</t>
  </si>
  <si>
    <t>Minimiser la logique booléenne négative (ex: éviter "if (!notFound(...))")</t>
  </si>
  <si>
    <t xml:space="preserve">-0.25 PlayAreaComponent:38
-0.25 InitSoloMode:143
</t>
  </si>
  <si>
    <t>-0 Client:NameValidator:26
-0.25 Client:BoardComponent:133, 183</t>
  </si>
  <si>
    <t>-0 Server:ManyLettersInRow:35 (et toutes les autres classes qui implémentent PlacementNotifier)
-0.25 Server:GameService:156</t>
  </si>
  <si>
    <t>5.3 Opérateurs ternaires</t>
  </si>
  <si>
    <t>Utilisation des opérateurs ternaires dans les bon scénario</t>
  </si>
  <si>
    <t>-0.5 rack-component:16</t>
  </si>
  <si>
    <t>-0.25 Client:SizeSelector:increase, decrease
Good job Client:GameService
-0 Client:PlaceLetterService:46</t>
  </si>
  <si>
    <t>5.4 Prédicats</t>
  </si>
  <si>
    <t>Pas d'expressions booléennes complexes. 
Des prédicats sont utilisés pour simplifier les conditions complexes</t>
  </si>
  <si>
    <t>-0.25 Board:83
-0.25 BoardValidator:114
 -0.25 GameService:98</t>
  </si>
  <si>
    <t>-0.25 Client:RoomListComponent:101
-0 ClientGridService:120
-0 Server:Board:57, 131
-0 Server:BoardValidator:retrieveDirection
-0 Server:GameService:92
-0.25 Server:GameService:116</t>
  </si>
  <si>
    <t>-0 Client:BoardService:56
-0.25 Server:PlacePalindrome:27
-0 Server:SessionStatsHandler</t>
  </si>
  <si>
    <t>6. Qualité générale</t>
  </si>
  <si>
    <t>6.1 Arborescence et kebab-case</t>
  </si>
  <si>
    <t>Le projet suit une arborescence de fichier uniforme et stucturée (regroupement par objectifs des fichiers et par module). Les fichiers et dossiers doivent respecter le kebab-case.</t>
  </si>
  <si>
    <t>-0.25 erroName;
-0.25 size-selector; duplicate folder</t>
  </si>
  <si>
    <t>6.2 Sépration TS, HTML, CSS</t>
  </si>
  <si>
    <t>Il y a une séparation entre le code Typescript, HTML et CSS.</t>
  </si>
  <si>
    <t>6.3 Indentation et organisation</t>
  </si>
  <si>
    <t>Le code est correctement indenté et organisé en groupes logiques.</t>
  </si>
  <si>
    <t>-0.25 grid.service.ts:188:espacement</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</si>
  <si>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</si>
  <si>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</si>
  <si>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init-solo.component.ts:90; Français</t>
  </si>
  <si>
    <t>6.5 Commentaires</t>
  </si>
  <si>
    <t>Les commentaires, lorsque présents sont pertinents</t>
  </si>
  <si>
    <t>-0.25 player.service.ts:182
-0.25 reserve.service.ts:32</t>
  </si>
  <si>
    <t>-0.25 grid.service.ts:135</t>
  </si>
  <si>
    <t>6.6 Enums</t>
  </si>
  <si>
    <t>Le programme utilise des enums lorsqu'elles sont nécessaires</t>
  </si>
  <si>
    <t>-1 command.service.ts:28</t>
  </si>
  <si>
    <t>-0 commands.service.ts:50,53,56....</t>
  </si>
  <si>
    <t>6.7 Utilisation des classes et interfaces</t>
  </si>
  <si>
    <t>Les objets anonymes Javascript ne sont pas utilisés, des classes ou des interfaces sont utilisés</t>
  </si>
  <si>
    <t>-0.25 bonus.ts:10,20; -0.25 dictionary.ts:3
-0.5 tries.ts: 28,78
-0.25 board-validator.ts: 18,47,67</t>
  </si>
  <si>
    <t>6.8 Duplication</t>
  </si>
  <si>
    <t>Il n'y a pas de duplication de code.</t>
  </si>
  <si>
    <t xml:space="preserve">-0.5 board.component.ts:227, 231
-0.5 size-selector.component.ts:14,23
</t>
  </si>
  <si>
    <t>6.9 ESLint</t>
  </si>
  <si>
    <t>Aucune erreur ESLint non justifiée. (Des commentaires TODO sont acceptables). (25% de la note sera retirée par type d'erreur présente)
L'utilisation raisonnable de eslint:disable est tolérée dans les fichiers spec.ts.</t>
  </si>
  <si>
    <t xml:space="preserve">-6 eslint-disable; </t>
  </si>
  <si>
    <t xml:space="preserve">6.10 Imbrication </t>
  </si>
  <si>
    <t>Les structures conditionnelles réduisent l'imbrication lorsque possible (reduce nesting).</t>
  </si>
  <si>
    <t>-0.5 timer.ts:51
-2 board.validator.service.ts:22,144,201,214
-0.5 end-game.component.ts:26</t>
  </si>
  <si>
    <t>-0.5 init-game.component.ts:90 
-0.5 rack.component.ts:139
-0.5 rack.service.ts:70</t>
  </si>
  <si>
    <t>6.11 Performance</t>
  </si>
  <si>
    <t>Le logiciel a une performance acceptable.</t>
  </si>
  <si>
    <t>7. Gestion de versions</t>
  </si>
  <si>
    <t>7.1 TAG</t>
  </si>
  <si>
    <t>La branche de production possède le bon TAG pour les remises de sprint (sprint1, sprint2, sprint3)</t>
  </si>
  <si>
    <t>7.2 Commit</t>
  </si>
  <si>
    <t>Chaque commit concerne une seule "issue" et les messages sont pertinents et suffisamment descriptifs pour chaque commit</t>
  </si>
  <si>
    <t>14 octobre - "fix"</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</si>
  <si>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</si>
  <si>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</si>
  <si>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</si>
  <si>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</si>
  <si>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-0.25 ''fixed ngModel''</t>
  </si>
  <si>
    <t>128 MR?
-0 1 MR merged without approval</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</si>
  <si>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</si>
  <si>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</si>
  <si>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</si>
  <si>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</si>
  <si>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</si>
  <si>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</si>
  <si>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</si>
  <si>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</si>
  <si>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</si>
  <si>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</si>
  <si>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game-mode-page.component.ts</t>
  </si>
  <si>
    <t>1.2 Initialisation d'une nouvelle partie (mode solo)</t>
  </si>
  <si>
    <t xml:space="preserve">-0.25 possibilité de choisir une durée de plus de 1 minute.
-0.5 La partie n'est pas toujour reinitialiser.
Explication:
Quitter la partie avec le boutton précedant du navigateur et          relancer la partie.
        Plus de 7 lettres dans le chevalet. 
        Les mots devinés restent sur le canvas.
</t>
  </si>
  <si>
    <t>1.3 Mode de jeu classique - Joueur Virtuel débutant</t>
  </si>
  <si>
    <t>Fonctionnalité (0.86)
-1 le système doit envoyer une commande dans la boite de communication lorsque le JV effectue une action
-1 le système affiche 3 possibilités de placement alternatives seulement si l'affichage de débogage est activé
-0.5 le système respecte le format d'affichage donné par la description du projet
-1 si je pose une action invalid, ca me fait passer mon tour
Tests (0.75)
ValidationBoardValidation, PlayComponent, GridService 
--- Recorrection --- 
Fonctionnalité
-1 le système doit envoyer une commande dans la boite de communication lorsque le JV effectue une action
-1 le système doit afficher 3 possibilités de placement alternatif si l'affichage débogage est activé
-0.5 le système respecte le format d'affichage donné par la description du projet
Tests
ValidationBoardValidation, PlayComponent, GridService,</t>
  </si>
  <si>
    <t>1.4 Validation locale des mots</t>
  </si>
  <si>
    <t xml:space="preserve">-0.5 Le mot formé n'est pas visible sur le tableau durant la validation 
- 0.5 Le système ne retourne pas les lettres 3 secondes après la validation
- 0.5 Il n'est pas toujour possible de former des mots en vertical avec des lettre déja existantes sur le plateau
</t>
  </si>
  <si>
    <t>1.5 Vue de jeu</t>
  </si>
  <si>
    <t>Fonctionnalité
-1 affichage du nombre de lettres disponibles dans la réserve
Tests
GamePageComponent</t>
  </si>
  <si>
    <t>1.6 Boite de communication</t>
  </si>
  <si>
    <t>-0.5 les commandes et leurs résultats ne sont pas affichés dans l'espace d'affichage
-0.5 la barre de défilement n'est pas replacer quand une message est ajouter. 
-0.5 Les messages doivent être affichés avec des couleurs différentes en fonction de leur origine</t>
  </si>
  <si>
    <t>1.7 Placer des lettres (commande seulement)</t>
  </si>
  <si>
    <t>Fonctionnalité (0.83)
-1 placer un mot invalide me fait passer mon tour
-1 parfois je fais placer, mais ca échanger mes lettres à la place
Tests (0.75)
playerService.placeLetters()
--- Recorrection ---
Fonctionnalité
-1 Parfois, je suis parfois incapable de placer un mot à la verticale (!placer g10v sue, !placer g12v si)
-1 quand je joue une action sans erreur mais qui provoque un mot invalide, les lettres ne sont pas mises sur le plateau avant d'être retournées (p. 16)
-1 quand je joue une action avec erreur (par exemple, une lettre que je n'ai pas) ça ne me donne pas toujours un message d'erreur et ça saute mon tour
Tests
playerService.placeLetters</t>
  </si>
  <si>
    <t>1. Échanger des lettres (commande seulement)</t>
  </si>
  <si>
    <t>-0.5 la commande échanger est invalide. (echanger sont accepté ce qui n'est pas correct !) 
-0.5 aucun message du systeme quand la commande est valide
-0.25 la boite de communication présente les actions du joeurs virtuel comme étant les actions du joueur
-0.25 un message de commande réussi est affiché quand on échange une lettre qui ne se trouve pas dans le chevalet</t>
  </si>
  <si>
    <t>1.9 Passer son tour</t>
  </si>
  <si>
    <t>1.10 Fin de partie</t>
  </si>
  <si>
    <t xml:space="preserve">-0.5 le pointage supplémentaire de fin de partie n'est pas calculer.
-0.25 le formatage de l'état du jeux dans la boite de dialogue n'est pas respecté.
-0.25 la couleur du message affiché n'est pas spécifique au système
</t>
  </si>
  <si>
    <t>1.11 Commandes débug</t>
  </si>
  <si>
    <t>-2 Le système doit afficher ''affichage de débogage désactivé'' lorsque les affichages sont désactivés</t>
  </si>
  <si>
    <t>Note finale pour le sprint</t>
  </si>
  <si>
    <t>Crash</t>
  </si>
  <si>
    <t>Erreur de build</t>
  </si>
  <si>
    <t>2.1 Mode multijoueur</t>
  </si>
  <si>
    <t>Tests
board.component.ts
game.service.ts
rack.component.ts
commands.service.ts
board-handler.ts</t>
  </si>
  <si>
    <t>2.2 Clavarder</t>
  </si>
  <si>
    <t>2.3 Validation des mots sur le serveur</t>
  </si>
  <si>
    <t>-1: Si la validation échoue, le système retire les lettres placées et les redonne au joueur après 3 secondes.</t>
  </si>
  <si>
    <t>2.4 Paramètres de partie (minuterie et mode aléatoire)</t>
  </si>
  <si>
    <t>2.5 Initialisation d'une nouvelle partie (mode multijoueur)</t>
  </si>
  <si>
    <t>---FONCTIONNALITÉS---
1. Paramètres de partie
-0 Impossible de choisir le profil du JV
2. Changement multijoueur -&gt; solo: Oui
3. Salle d'attente pour la personne qui a créé la partie: Oui
4. Possible de rejoindre une salle d'attente: Oui
5. Retirer la partie de l'affichage lorsqu'elle commence: Oui
6. Retirer la partie de l'affichage si j'annule: Oui
---TESTS---
Client
- RoomListComponent, WaitingRoomPageComponent, InitGameComponent
- RoomService
Serveur
- RoomController</t>
  </si>
  <si>
    <t>2.6 Placer des lettres</t>
  </si>
  <si>
    <t>---FONCTIONNALITÉS---
1. Placer des lettres: Oui
2. Sélection de la case vide
-0.5 Possible de changer la case de départ lorsqu'il y a des lettres de placées
3. Choisir une lettre avec le clavier: Oui
4. Retirer une lettre
-0.5 Lorsque je place 2 lettres proche d'une bordure et que je fais backspace, il est possible d'avoir des lettres vides dans mon chevalet.
5. Confirmer un placement
-1 Lorsque je sélectionne une case de départ, puis je change de case de départ, si je confirme un placement avec la touche enter, les lettres sont retirées de mon chevalet, mais ne sont pas affichées sur le plateau de jeu. Lorsque le tour termine, les lettres me sont retournées.
-0.5 Lorsque je crée un mot avec une lettre déjà en place sur le jeu au milieu du mot, la validation échoue (pour la verticale).
6. Annuler un placement: Oui
7. Affichage dans la boite de communication : Oui
---TESTS---
Client
- PlayAreaComponent, GamePageComponent, BoardComponent
- GridService, MouseHandlingService, BoardService, PlaceLetterService, GameService
Serveur</t>
  </si>
  <si>
    <t>2.7 Échanger des lettres</t>
  </si>
  <si>
    <t>---FONCTIONNALITÉS---
1. Sélection bouton droit: Oui
2. Annuler la sélection lors du changement de récepteur: Oui
3. Affichage du bouton échanger: Oui
4. Affichage du bouton annuler: Oui
5. Piger dans la réserve: Oui
6. Affichage dans la boite de communucation: Oui
---TESTS---
Client: Oui
Server: Oui</t>
  </si>
  <si>
    <t>2.8 Abandonner une partie</t>
  </si>
  <si>
    <t>---FONCTIONNALITÉS---
1. Bouton abandonner: Oui
2. Abandonner à tout moment: Oui
3. Message de confirmation: Oui
4. Redirection à la page d'accueil: Oui
5. Annuler l'abandon: Oui
6. Abandonner déclare l'adversaire gagnant: Oui
7. Fermeture du site web: Oui
---TESTS---
Client: Oui
Server:
- RoomController.socket.on('exit')</t>
  </si>
  <si>
    <t>2.9 Manipuler les lettres du chevalet</t>
  </si>
  <si>
    <t>---FONCTIONNALITÉS---
1. Manipulation en tout temps avec bouton gauche: Oui
2. Manipulation: 
-1 la roulette ne déplace pas la sélection
3. Un seul type de sélection: 
-0 sélection échange et sélection déplacement en même temps sur des lettres différentes
4. Annuler si une touche ne représente pas une lettre du chevalet: Oui
---TESTS---
Client: Oui
Server: N/A</t>
  </si>
  <si>
    <t>2.10 Commande réserve</t>
  </si>
  <si>
    <t>---FONCTIONNALITÉS---
1. Commande réserve: Oui
2. Affichage de la lettre blanche: Oui
3. Respect du format: Oui
4. Affichage seulement pour le joueur ayant envoyé la commande: Oui
5. Seulement accessible si débogage: Oui
---TESTS---
Client: Oui
Server: N/A</t>
  </si>
  <si>
    <t>GR: commentaire UI/UX: il serait bien que vous tuiles sur le plateau de jeu soit d'une autre couleur que transparent, ce serait plus facile de voir les lettres
GR: svp enlever la règle de lettre majuscule dans le nom du joueur pour m'aider dans la correction ;) (Merci)</t>
  </si>
  <si>
    <t>Ne build pas</t>
  </si>
  <si>
    <t>Anciennes fonctionnalités brisées</t>
  </si>
  <si>
    <t>3.1 Meilleurs scores</t>
  </si>
  <si>
    <t>3.2 Mode admin</t>
  </si>
  <si>
    <t>Test: 
AdminPageComponent  - resetSettings() pas tester. 
Pas besoin de tester: window.location.reload() mais tester l'appel de la methode et l'execution de la promesse.</t>
  </si>
  <si>
    <t>3.3. Joueur virtuel expert</t>
  </si>
  <si>
    <t>- Fonctionnalité -
1. Possible de sélectionner JV expert lors de l'initialisation: Oui 2. Nom du JV choisi dans une liste de 3: Oui 3. Liste différente pour chaque mode de jeu: Oui 4. Le JV à un nom différent du joueur: Oui 5. JV expert fonctionnel: Oui 6. Le JV place, saute son tour et échange: Oui 7. Le JV choisit le placement qui rapporte le maximum de points: Oui 8. Le JV échange toutes ses lettres s'il ne peut pas faire un placement: Oui 9. Le JV échange le plus de lettres possible si la réserve contient moins que 7 lettres: Oui 10. Les points son bien calculés: Oui 11. Le JV joue après 3 secondes: Oui 12. Le JV passe son tour après 20 secondes: Non 13. Toutes les actions du JV sont affichées dans la boite de communication: Oui 14. Le système affiche 3 possibilités de placement lorsque l'affichage de débogage est activé seulement si le joueur fait un placement: Oui 15. L'affichage des possibilités est en ordre décroissant: Oui 16. Respect du format d'affichage (1er ligne:toutes les lettres XY:L, pointage à la fin, 2e ligne: tous les mots formés par ce placement): Oui
- Test -
-- Client --
-- Server --
VirtualPlayer:90%</t>
  </si>
  <si>
    <t>3.4 Mode LOG2990 - Objectifs publics</t>
  </si>
  <si>
    <t>- Fonctionnalité -
1. LOG2990 en solo et multijoueur: Oui
2. 8 objectifs différents: Oui
3. Affichage des 2 objectifs publics: Oui
4. Sélection aléatoire des objectifs publics: Oui
5. Les objectifs privés sont différents: Oui
6. Seulement possible de compléter l'objectif 1 fois: Oui
7. Bon pointage: Oui
8. JV peut compléter un objectif: Oui
9. Les 2 joueurs peuvent compléter l'objectif: Oui
10. Affichage de l'objectif comme étant complété: Oui
- Test - 
-- Client -- OK
-- Server -- OK</t>
  </si>
  <si>
    <t>3.5 Mode LOG2990 - Objectifs privés</t>
  </si>
  <si>
    <t>- Fonctionnalité - 
1. LOG2990 en solo et multijoueur: Oui
2. 8 objectifs différents: Oui
3. Affichage de 1 objectif privé: Oui
4. Sélection aléatoire de l'objectif privé: Oui
5. Les objectifs privés sont différents: Oui
6. Seulement possible de compléter l'objectif 1 fois: Oui
7. Bon pointage: Oui
8. JV peut compléter un objectif: Oui
9. Affichage de l'objectif aux 2 joueurs lorsque l'objectif est complété: OK
- Test - 
idem public</t>
  </si>
  <si>
    <t>3.6 Placement aléatoire dans une partie</t>
  </si>
  <si>
    <t>3.7 Téléverser un nouveau dictionnaire</t>
  </si>
  <si>
    <t xml:space="preserve">Test: 
DictionaryService </t>
  </si>
  <si>
    <t>3.8 Paramètres de partie (dictionnaire)</t>
  </si>
  <si>
    <t>3.9 Abandonner une partie multijoueur</t>
  </si>
  <si>
    <t>-0.5  Le nom du JV doit provenir de la liste des noms définis dans le système.</t>
  </si>
  <si>
    <t>3.10 Commande aide</t>
  </si>
  <si>
    <t>- Fonctionnalité -
1. !aide fonctionne: oui
2. Affichage seulement pour le jouer qui a fait la commande: oui
- Test -
-- Client -- OK
-- Server -- N/A</t>
  </si>
  <si>
    <t>enlever des points car il faut jouer dans le code pour faire fonctionner les tests serveur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</si>
</sst>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rgb="FF000000"/>
      <name val="Calibri"/>
      <family val="2"/>
      <charset val="1"/>
    </font>
    <font>
      <sz val="11"/>
      <color theme="1"/>
      <name val="Calibri"/>
      <scheme val="minor"/>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
      <sz val="11"/>
      <color rgb="FF000000"/>
      <name val="Calibri"/>
      <charset val="1"/>
    </font>
    <font>
      <sz val="11"/>
      <color rgb="FF444444"/>
      <name val="Calibri"/>
      <family val="2"/>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C6E0B4"/>
        <bgColor indexed="64"/>
      </patternFill>
    </fill>
    <fill>
      <patternFill patternType="solid">
        <fgColor rgb="FF92D050"/>
        <bgColor indexed="64"/>
      </patternFill>
    </fill>
    <fill>
      <patternFill patternType="solid">
        <fgColor rgb="FFFFE699"/>
        <bgColor indexed="64"/>
      </patternFill>
    </fill>
  </fills>
  <borders count="45">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
      <left/>
      <right style="medium">
        <color indexed="64"/>
      </right>
      <top style="thin">
        <color auto="1"/>
      </top>
      <bottom style="thin">
        <color rgb="FF000000"/>
      </bottom>
      <diagonal/>
    </border>
  </borders>
  <cellStyleXfs count="7">
    <xf numFmtId="0" fontId="0" fillId="0" borderId="0"/>
    <xf numFmtId="9" fontId="5" fillId="0" borderId="0" applyBorder="0" applyProtection="0"/>
    <xf numFmtId="0" fontId="3" fillId="2" borderId="0" applyBorder="0" applyProtection="0"/>
    <xf numFmtId="0" fontId="10" fillId="3" borderId="26" applyNumberFormat="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13">
    <xf numFmtId="0" fontId="0" fillId="0" borderId="0" xfId="0"/>
    <xf numFmtId="0" fontId="0" fillId="0" borderId="0" xfId="0" applyAlignment="1">
      <alignment wrapText="1"/>
    </xf>
    <xf numFmtId="0" fontId="0" fillId="0" borderId="0" xfId="0" applyAlignment="1">
      <alignment horizontal="center"/>
    </xf>
    <xf numFmtId="0" fontId="4" fillId="0" borderId="0" xfId="0" applyFont="1" applyAlignment="1">
      <alignment horizontal="center" vertical="center" wrapText="1"/>
    </xf>
    <xf numFmtId="0" fontId="6" fillId="0" borderId="0" xfId="0" applyFont="1" applyAlignment="1">
      <alignment vertical="center" wrapText="1"/>
    </xf>
    <xf numFmtId="0" fontId="4"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vertical="center"/>
    </xf>
    <xf numFmtId="0" fontId="10"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4" fillId="0" borderId="0" xfId="0" applyFont="1"/>
    <xf numFmtId="0" fontId="11" fillId="0" borderId="0" xfId="0" applyFont="1"/>
    <xf numFmtId="0" fontId="0" fillId="0" borderId="0" xfId="0" applyAlignment="1">
      <alignment horizontal="left" wrapText="1"/>
    </xf>
    <xf numFmtId="0" fontId="4" fillId="0" borderId="4" xfId="0" applyFont="1" applyBorder="1" applyAlignment="1">
      <alignment horizontal="center" vertical="center" wrapText="1"/>
    </xf>
    <xf numFmtId="0" fontId="16" fillId="0" borderId="0" xfId="0" applyFont="1" applyAlignment="1">
      <alignment vertical="center" wrapText="1"/>
    </xf>
    <xf numFmtId="0" fontId="13" fillId="0" borderId="0" xfId="0" applyFont="1"/>
    <xf numFmtId="49" fontId="0" fillId="0" borderId="15" xfId="0" applyNumberFormat="1" applyBorder="1" applyAlignment="1">
      <alignment horizontal="left" vertical="center" wrapText="1"/>
    </xf>
    <xf numFmtId="0" fontId="4" fillId="8" borderId="24" xfId="0" applyFont="1" applyFill="1" applyBorder="1" applyAlignment="1">
      <alignment horizontal="center" vertical="center" wrapText="1"/>
    </xf>
    <xf numFmtId="0" fontId="4" fillId="8" borderId="25"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25" xfId="0" applyFont="1" applyFill="1" applyBorder="1" applyAlignment="1">
      <alignment horizontal="center" vertical="center" wrapText="1"/>
    </xf>
    <xf numFmtId="0" fontId="4" fillId="13" borderId="24" xfId="0" applyFont="1" applyFill="1" applyBorder="1" applyAlignment="1">
      <alignment horizontal="center" vertical="center" wrapText="1"/>
    </xf>
    <xf numFmtId="0" fontId="4" fillId="13" borderId="25" xfId="0" applyFont="1" applyFill="1" applyBorder="1" applyAlignment="1">
      <alignment horizontal="center" vertical="center" wrapText="1"/>
    </xf>
    <xf numFmtId="0" fontId="4" fillId="9" borderId="17" xfId="0" applyFont="1" applyFill="1" applyBorder="1" applyAlignment="1">
      <alignment horizontal="left" vertical="center" wrapText="1"/>
    </xf>
    <xf numFmtId="0" fontId="4" fillId="8" borderId="17" xfId="0" applyFont="1" applyFill="1" applyBorder="1" applyAlignment="1">
      <alignment horizontal="left" vertical="center" wrapText="1"/>
    </xf>
    <xf numFmtId="0" fontId="4"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4" fillId="8" borderId="34"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4" fillId="9" borderId="34" xfId="0" applyFont="1" applyFill="1" applyBorder="1" applyAlignment="1">
      <alignment horizontal="left" vertical="center" wrapText="1"/>
    </xf>
    <xf numFmtId="0" fontId="14" fillId="15" borderId="34"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9" borderId="40" xfId="0" applyFill="1" applyBorder="1" applyAlignment="1">
      <alignment horizontal="center"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4" fillId="16" borderId="9" xfId="0" applyFont="1" applyFill="1" applyBorder="1" applyAlignment="1">
      <alignment vertical="center"/>
    </xf>
    <xf numFmtId="0" fontId="14" fillId="16" borderId="19" xfId="0" applyFont="1" applyFill="1" applyBorder="1" applyAlignment="1">
      <alignment vertical="center" wrapText="1"/>
    </xf>
    <xf numFmtId="0" fontId="14" fillId="16" borderId="21" xfId="0" applyFont="1" applyFill="1" applyBorder="1" applyAlignment="1">
      <alignment vertical="center" wrapText="1"/>
    </xf>
    <xf numFmtId="0" fontId="14" fillId="8" borderId="29" xfId="0" applyFont="1"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4" fillId="8" borderId="38" xfId="0" applyFont="1" applyFill="1" applyBorder="1" applyAlignment="1">
      <alignment horizontal="left" vertical="center" wrapText="1"/>
    </xf>
    <xf numFmtId="0" fontId="14" fillId="9" borderId="29" xfId="0" applyFont="1" applyFill="1" applyBorder="1" applyAlignment="1">
      <alignment horizontal="center" vertical="center" wrapText="1"/>
    </xf>
    <xf numFmtId="0" fontId="14"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4" fillId="9" borderId="16" xfId="0" applyFont="1" applyFill="1" applyBorder="1" applyAlignment="1">
      <alignment horizontal="center" vertical="center" wrapText="1"/>
    </xf>
    <xf numFmtId="0" fontId="14" fillId="9" borderId="38" xfId="0" applyFont="1" applyFill="1" applyBorder="1" applyAlignment="1">
      <alignment horizontal="left" vertical="center" wrapText="1"/>
    </xf>
    <xf numFmtId="0" fontId="14"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4"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4" fillId="8" borderId="10" xfId="0" applyFont="1" applyFill="1" applyBorder="1" applyAlignment="1">
      <alignment horizontal="center" vertical="center" wrapText="1"/>
    </xf>
    <xf numFmtId="0" fontId="14" fillId="8" borderId="33" xfId="0" applyFont="1" applyFill="1" applyBorder="1" applyAlignment="1">
      <alignment horizontal="center" vertical="center" wrapText="1"/>
    </xf>
    <xf numFmtId="0" fontId="14" fillId="8" borderId="42" xfId="0" applyFont="1" applyFill="1" applyBorder="1" applyAlignment="1">
      <alignment horizontal="left" vertical="center" wrapText="1"/>
    </xf>
    <xf numFmtId="0" fontId="17" fillId="8" borderId="12" xfId="0" applyFont="1" applyFill="1" applyBorder="1" applyAlignment="1">
      <alignment horizontal="center" vertical="center" wrapText="1"/>
    </xf>
    <xf numFmtId="0" fontId="17" fillId="8" borderId="31" xfId="0" applyFont="1" applyFill="1" applyBorder="1" applyAlignment="1">
      <alignment horizontal="center" vertical="center" wrapText="1"/>
    </xf>
    <xf numFmtId="0" fontId="17" fillId="8" borderId="39" xfId="0" applyFont="1" applyFill="1" applyBorder="1" applyAlignment="1">
      <alignment horizontal="left" vertical="center" wrapText="1"/>
    </xf>
    <xf numFmtId="0" fontId="17" fillId="9" borderId="12" xfId="0" applyFont="1" applyFill="1" applyBorder="1" applyAlignment="1">
      <alignment horizontal="center" vertical="center" wrapText="1"/>
    </xf>
    <xf numFmtId="0" fontId="17" fillId="9" borderId="31" xfId="0" applyFont="1" applyFill="1" applyBorder="1" applyAlignment="1">
      <alignment horizontal="center" vertical="center" wrapText="1"/>
    </xf>
    <xf numFmtId="0" fontId="17" fillId="9" borderId="39" xfId="0" applyFont="1" applyFill="1" applyBorder="1" applyAlignment="1">
      <alignment horizontal="left" vertical="center" wrapText="1"/>
    </xf>
    <xf numFmtId="0" fontId="17" fillId="13" borderId="12" xfId="0" applyFont="1" applyFill="1" applyBorder="1" applyAlignment="1">
      <alignment horizontal="center" vertical="center" wrapText="1"/>
    </xf>
    <xf numFmtId="0" fontId="17" fillId="13" borderId="31" xfId="0" applyFont="1" applyFill="1" applyBorder="1" applyAlignment="1">
      <alignment horizontal="center" vertical="center" wrapText="1"/>
    </xf>
    <xf numFmtId="0" fontId="17" fillId="13" borderId="39" xfId="0" applyFont="1" applyFill="1" applyBorder="1" applyAlignment="1">
      <alignment horizontal="left" vertical="center" wrapText="1"/>
    </xf>
    <xf numFmtId="0" fontId="17" fillId="0" borderId="0" xfId="0" applyFont="1" applyAlignment="1">
      <alignment horizontal="center" vertical="center" wrapText="1"/>
    </xf>
    <xf numFmtId="0" fontId="17" fillId="0" borderId="0" xfId="0" applyFont="1"/>
    <xf numFmtId="0" fontId="17" fillId="8" borderId="11" xfId="0" applyFont="1" applyFill="1" applyBorder="1" applyAlignment="1">
      <alignment horizontal="center" vertical="center" wrapText="1"/>
    </xf>
    <xf numFmtId="0" fontId="17" fillId="8" borderId="30" xfId="0" applyFont="1" applyFill="1" applyBorder="1" applyAlignment="1">
      <alignment horizontal="center" vertical="center" wrapText="1"/>
    </xf>
    <xf numFmtId="0" fontId="17" fillId="8" borderId="35" xfId="0" applyFont="1" applyFill="1" applyBorder="1" applyAlignment="1">
      <alignment horizontal="left" vertical="center" wrapText="1"/>
    </xf>
    <xf numFmtId="0" fontId="17" fillId="9" borderId="11" xfId="0" applyFont="1" applyFill="1" applyBorder="1" applyAlignment="1">
      <alignment horizontal="center" vertical="center" wrapText="1"/>
    </xf>
    <xf numFmtId="0" fontId="17" fillId="9" borderId="30" xfId="0" applyFont="1" applyFill="1" applyBorder="1" applyAlignment="1">
      <alignment horizontal="center" vertical="center" wrapText="1"/>
    </xf>
    <xf numFmtId="0" fontId="17" fillId="9" borderId="35" xfId="0" applyFont="1" applyFill="1" applyBorder="1" applyAlignment="1">
      <alignment horizontal="left" vertical="center" wrapText="1"/>
    </xf>
    <xf numFmtId="0" fontId="17" fillId="13" borderId="11" xfId="0" applyFont="1" applyFill="1" applyBorder="1" applyAlignment="1">
      <alignment horizontal="center" vertical="center" wrapText="1"/>
    </xf>
    <xf numFmtId="0" fontId="17" fillId="13" borderId="30" xfId="0" applyFont="1" applyFill="1" applyBorder="1" applyAlignment="1">
      <alignment horizontal="center" vertical="center" wrapText="1"/>
    </xf>
    <xf numFmtId="0" fontId="17" fillId="13" borderId="35" xfId="0" applyFont="1" applyFill="1" applyBorder="1" applyAlignment="1">
      <alignment horizontal="left" vertical="center" wrapText="1"/>
    </xf>
    <xf numFmtId="0" fontId="14" fillId="9" borderId="40" xfId="0" applyFont="1" applyFill="1" applyBorder="1" applyAlignment="1">
      <alignment horizontal="center" vertical="center" wrapText="1"/>
    </xf>
    <xf numFmtId="0" fontId="14" fillId="9" borderId="41" xfId="0" applyFont="1" applyFill="1" applyBorder="1" applyAlignment="1">
      <alignment horizontal="left" vertical="center" wrapText="1"/>
    </xf>
    <xf numFmtId="0" fontId="14" fillId="9" borderId="10"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42" xfId="0" applyFont="1" applyFill="1" applyBorder="1" applyAlignment="1">
      <alignment horizontal="left" vertical="center" wrapText="1"/>
    </xf>
    <xf numFmtId="0" fontId="14" fillId="8" borderId="40" xfId="0" applyFont="1" applyFill="1" applyBorder="1" applyAlignment="1">
      <alignment horizontal="center" vertical="center" wrapText="1"/>
    </xf>
    <xf numFmtId="0" fontId="14" fillId="8" borderId="41" xfId="0" applyFont="1"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7" fillId="9" borderId="31" xfId="0" applyFont="1" applyFill="1" applyBorder="1" applyAlignment="1">
      <alignment horizontal="left" vertical="center" wrapText="1"/>
    </xf>
    <xf numFmtId="0" fontId="14" fillId="13" borderId="40" xfId="0" applyFont="1" applyFill="1" applyBorder="1" applyAlignment="1">
      <alignment horizontal="center" vertical="center" wrapText="1"/>
    </xf>
    <xf numFmtId="0" fontId="14"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7" fillId="8" borderId="12" xfId="0" applyNumberFormat="1" applyFont="1" applyFill="1" applyBorder="1" applyAlignment="1">
      <alignment horizontal="center" vertical="center" wrapText="1"/>
    </xf>
    <xf numFmtId="49" fontId="17" fillId="9" borderId="12" xfId="0" applyNumberFormat="1"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49" fontId="17"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7" fillId="0" borderId="0" xfId="1" applyFont="1" applyBorder="1" applyAlignment="1" applyProtection="1">
      <alignment vertical="center" wrapText="1"/>
    </xf>
    <xf numFmtId="0" fontId="7"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9" fillId="14" borderId="10" xfId="0" applyFont="1" applyFill="1" applyBorder="1" applyAlignment="1">
      <alignment horizontal="left" vertical="center"/>
    </xf>
    <xf numFmtId="0" fontId="9" fillId="14" borderId="33" xfId="0" applyFont="1" applyFill="1" applyBorder="1" applyAlignment="1">
      <alignment horizontal="left" vertical="center"/>
    </xf>
    <xf numFmtId="10" fontId="9"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9" fillId="12" borderId="10" xfId="0" applyFont="1" applyFill="1" applyBorder="1" applyAlignment="1">
      <alignment horizontal="left" vertical="center" wrapText="1"/>
    </xf>
    <xf numFmtId="0" fontId="9" fillId="12" borderId="33" xfId="0" applyFont="1" applyFill="1" applyBorder="1" applyAlignment="1">
      <alignment horizontal="left" vertical="center" wrapText="1"/>
    </xf>
    <xf numFmtId="10" fontId="9" fillId="12" borderId="33" xfId="1" applyNumberFormat="1" applyFont="1" applyFill="1" applyBorder="1" applyAlignment="1">
      <alignment horizontal="left" vertical="center" wrapText="1"/>
    </xf>
    <xf numFmtId="0" fontId="9" fillId="11" borderId="10" xfId="0" applyFont="1" applyFill="1" applyBorder="1" applyAlignment="1">
      <alignment horizontal="left" vertical="center"/>
    </xf>
    <xf numFmtId="10" fontId="9"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2"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9" fillId="18" borderId="6" xfId="0" applyFont="1" applyFill="1" applyBorder="1" applyAlignment="1">
      <alignment horizontal="left" vertical="center"/>
    </xf>
    <xf numFmtId="0" fontId="9" fillId="18" borderId="23" xfId="0" applyFont="1" applyFill="1" applyBorder="1" applyAlignment="1">
      <alignment horizontal="left" vertical="center"/>
    </xf>
    <xf numFmtId="0" fontId="12" fillId="18" borderId="23" xfId="0" applyFont="1" applyFill="1" applyBorder="1" applyAlignment="1">
      <alignment horizontal="left" vertical="center"/>
    </xf>
    <xf numFmtId="0" fontId="15"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2" fillId="19" borderId="23" xfId="0" applyFont="1" applyFill="1" applyBorder="1" applyAlignment="1">
      <alignment horizontal="left" vertical="center"/>
    </xf>
    <xf numFmtId="0" fontId="15"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5" fillId="20" borderId="23" xfId="0" applyFont="1" applyFill="1" applyBorder="1" applyAlignment="1">
      <alignment horizontal="left" vertical="center" wrapText="1"/>
    </xf>
    <xf numFmtId="0" fontId="15"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5" fillId="20" borderId="6" xfId="0" applyFont="1" applyFill="1" applyBorder="1" applyAlignment="1">
      <alignment horizontal="left" vertical="center" wrapText="1"/>
    </xf>
    <xf numFmtId="0" fontId="15" fillId="19" borderId="6" xfId="0" applyFont="1" applyFill="1" applyBorder="1" applyAlignment="1">
      <alignment horizontal="left" vertical="center" wrapText="1"/>
    </xf>
    <xf numFmtId="0" fontId="10" fillId="3" borderId="27" xfId="3" applyBorder="1" applyAlignment="1">
      <alignment horizontal="center" vertical="center" wrapText="1"/>
    </xf>
    <xf numFmtId="0" fontId="2" fillId="21" borderId="1" xfId="4" applyFill="1" applyBorder="1" applyAlignment="1">
      <alignment horizontal="center" vertical="center"/>
    </xf>
    <xf numFmtId="10" fontId="2" fillId="21" borderId="3" xfId="4" applyNumberFormat="1" applyFill="1" applyBorder="1" applyAlignment="1">
      <alignment horizontal="center" vertical="center"/>
    </xf>
    <xf numFmtId="10" fontId="2" fillId="21" borderId="8" xfId="4" applyNumberFormat="1" applyFill="1" applyBorder="1" applyAlignment="1">
      <alignment horizontal="center" vertical="center"/>
    </xf>
    <xf numFmtId="0" fontId="2" fillId="22" borderId="2" xfId="5" applyFill="1" applyBorder="1" applyAlignment="1">
      <alignment horizontal="center" vertical="center"/>
    </xf>
    <xf numFmtId="10" fontId="2" fillId="22" borderId="4" xfId="5" applyNumberFormat="1" applyFill="1" applyBorder="1" applyAlignment="1">
      <alignment horizontal="center" vertical="center"/>
    </xf>
    <xf numFmtId="10" fontId="2" fillId="22" borderId="0" xfId="5" applyNumberFormat="1" applyFill="1" applyAlignment="1">
      <alignment horizontal="center" vertical="center"/>
    </xf>
    <xf numFmtId="0" fontId="2" fillId="23" borderId="2" xfId="6" applyFill="1" applyBorder="1" applyAlignment="1">
      <alignment horizontal="center" vertical="center"/>
    </xf>
    <xf numFmtId="10" fontId="2" fillId="23" borderId="4" xfId="6" applyNumberFormat="1" applyFill="1" applyBorder="1" applyAlignment="1">
      <alignment horizontal="center" vertical="center"/>
    </xf>
    <xf numFmtId="10" fontId="2" fillId="23" borderId="0" xfId="6" applyNumberFormat="1" applyFill="1" applyAlignment="1">
      <alignment horizontal="center" vertical="center"/>
    </xf>
    <xf numFmtId="0" fontId="0" fillId="0" borderId="0" xfId="0" applyAlignment="1">
      <alignment horizontal="center" vertical="center"/>
    </xf>
    <xf numFmtId="0" fontId="4" fillId="0" borderId="0" xfId="0" applyFont="1" applyAlignment="1">
      <alignment horizontal="left" vertical="center" wrapText="1"/>
    </xf>
    <xf numFmtId="0" fontId="9" fillId="11" borderId="33" xfId="0" applyFont="1" applyFill="1" applyBorder="1" applyAlignment="1">
      <alignment horizontal="left" vertical="center"/>
    </xf>
    <xf numFmtId="0" fontId="0" fillId="24" borderId="34" xfId="0" applyFill="1" applyBorder="1"/>
    <xf numFmtId="0" fontId="0" fillId="25" borderId="34" xfId="0" applyFill="1" applyBorder="1"/>
    <xf numFmtId="0" fontId="0" fillId="19" borderId="38" xfId="0" applyFill="1" applyBorder="1" applyAlignment="1">
      <alignment horizontal="left" vertical="center" wrapText="1"/>
    </xf>
    <xf numFmtId="2" fontId="0" fillId="8" borderId="40" xfId="0" applyNumberFormat="1" applyFill="1" applyBorder="1" applyAlignment="1">
      <alignment horizontal="center" vertical="center" wrapText="1"/>
    </xf>
    <xf numFmtId="0" fontId="0" fillId="11" borderId="38" xfId="0" applyFill="1" applyBorder="1" applyAlignment="1">
      <alignment horizontal="left" vertical="center" wrapText="1"/>
    </xf>
    <xf numFmtId="0" fontId="0" fillId="25" borderId="34" xfId="0" applyFill="1" applyBorder="1" applyAlignment="1">
      <alignment horizontal="left" vertical="center"/>
    </xf>
    <xf numFmtId="0" fontId="0" fillId="25" borderId="34" xfId="0" applyFill="1" applyBorder="1" applyAlignment="1">
      <alignment vertical="center"/>
    </xf>
    <xf numFmtId="0" fontId="0" fillId="24" borderId="34" xfId="0" applyFill="1" applyBorder="1" applyAlignment="1">
      <alignment vertical="center"/>
    </xf>
    <xf numFmtId="2" fontId="14" fillId="8" borderId="16" xfId="0" applyNumberFormat="1" applyFont="1" applyFill="1" applyBorder="1" applyAlignment="1">
      <alignment horizontal="center" vertical="center" wrapText="1"/>
    </xf>
    <xf numFmtId="2" fontId="0" fillId="11" borderId="34" xfId="0" applyNumberFormat="1" applyFill="1" applyBorder="1" applyAlignment="1">
      <alignment horizontal="left" vertical="center"/>
    </xf>
    <xf numFmtId="0" fontId="0" fillId="11" borderId="16" xfId="0" applyFill="1" applyBorder="1" applyAlignment="1">
      <alignment vertical="center"/>
    </xf>
    <xf numFmtId="0" fontId="0" fillId="11" borderId="38" xfId="0" applyFill="1" applyBorder="1" applyAlignment="1">
      <alignment vertical="center" wrapText="1"/>
    </xf>
    <xf numFmtId="0" fontId="0" fillId="24" borderId="34" xfId="0" applyFill="1" applyBorder="1" applyAlignment="1">
      <alignment horizontal="left" vertical="center"/>
    </xf>
    <xf numFmtId="2" fontId="0" fillId="19" borderId="34" xfId="0" applyNumberFormat="1" applyFill="1" applyBorder="1" applyAlignment="1">
      <alignment horizontal="left" vertical="center"/>
    </xf>
    <xf numFmtId="2" fontId="19" fillId="21" borderId="0" xfId="0" quotePrefix="1" applyNumberFormat="1" applyFont="1" applyFill="1" applyAlignment="1">
      <alignment horizontal="left" vertical="center"/>
    </xf>
    <xf numFmtId="0" fontId="0" fillId="26" borderId="34" xfId="0" applyFill="1" applyBorder="1" applyAlignment="1">
      <alignment horizontal="left" vertical="center"/>
    </xf>
    <xf numFmtId="0" fontId="0" fillId="21" borderId="34" xfId="0" applyFill="1" applyBorder="1" applyAlignment="1">
      <alignment horizontal="left" vertical="center"/>
    </xf>
    <xf numFmtId="0" fontId="0" fillId="8" borderId="41" xfId="0" applyFill="1" applyBorder="1" applyAlignment="1">
      <alignment horizontal="left" vertical="center" wrapText="1"/>
    </xf>
    <xf numFmtId="2" fontId="0" fillId="8" borderId="16" xfId="0" applyNumberFormat="1" applyFill="1" applyBorder="1" applyAlignment="1">
      <alignment horizontal="center" vertical="center" wrapText="1"/>
    </xf>
    <xf numFmtId="2" fontId="0" fillId="8" borderId="10" xfId="0" applyNumberFormat="1" applyFill="1" applyBorder="1" applyAlignment="1">
      <alignment horizontal="center" vertical="center" wrapText="1"/>
    </xf>
    <xf numFmtId="0" fontId="0" fillId="0" borderId="0" xfId="0" applyAlignment="1">
      <alignment vertical="top" wrapText="1"/>
    </xf>
    <xf numFmtId="0" fontId="20" fillId="0" borderId="0" xfId="0" applyFont="1" applyAlignment="1">
      <alignment wrapText="1"/>
    </xf>
    <xf numFmtId="0" fontId="0" fillId="27" borderId="38" xfId="0" applyFill="1" applyBorder="1" applyAlignment="1">
      <alignment horizontal="left" vertical="center" wrapText="1"/>
    </xf>
    <xf numFmtId="0" fontId="0" fillId="12" borderId="44" xfId="0" applyFill="1" applyBorder="1" applyAlignment="1">
      <alignment horizontal="left" vertical="center"/>
    </xf>
    <xf numFmtId="0" fontId="0" fillId="20" borderId="41" xfId="0" applyFill="1" applyBorder="1" applyAlignment="1">
      <alignment horizontal="left" vertical="center"/>
    </xf>
    <xf numFmtId="2" fontId="14" fillId="9" borderId="16" xfId="0" applyNumberFormat="1" applyFont="1" applyFill="1" applyBorder="1" applyAlignment="1">
      <alignment horizontal="center" vertical="center" wrapText="1"/>
    </xf>
    <xf numFmtId="0" fontId="0" fillId="12" borderId="38" xfId="0" applyFill="1" applyBorder="1" applyAlignment="1">
      <alignment horizontal="left" vertical="center" wrapText="1"/>
    </xf>
    <xf numFmtId="0" fontId="0" fillId="28" borderId="16" xfId="0" applyFill="1" applyBorder="1" applyAlignment="1">
      <alignment horizontal="left" vertical="center" wrapText="1"/>
    </xf>
    <xf numFmtId="0" fontId="0" fillId="28" borderId="34" xfId="0" applyFill="1" applyBorder="1" applyAlignment="1">
      <alignment horizontal="left" vertical="center" wrapText="1"/>
    </xf>
    <xf numFmtId="0" fontId="0" fillId="20" borderId="38" xfId="0" applyFill="1" applyBorder="1" applyAlignment="1">
      <alignment horizontal="left" vertical="center" wrapText="1"/>
    </xf>
    <xf numFmtId="2" fontId="0" fillId="20" borderId="34" xfId="0" applyNumberFormat="1" applyFill="1" applyBorder="1" applyAlignment="1">
      <alignment horizontal="left" vertical="center" wrapText="1"/>
    </xf>
    <xf numFmtId="49" fontId="0" fillId="12" borderId="38" xfId="0" applyNumberFormat="1" applyFill="1" applyBorder="1" applyAlignment="1">
      <alignment horizontal="left" vertical="center" wrapText="1"/>
    </xf>
    <xf numFmtId="49" fontId="0" fillId="28" borderId="38" xfId="0" applyNumberFormat="1" applyFill="1" applyBorder="1" applyAlignment="1">
      <alignment horizontal="left" vertical="center" wrapText="1"/>
    </xf>
    <xf numFmtId="2" fontId="0" fillId="9" borderId="16" xfId="0" applyNumberFormat="1" applyFill="1" applyBorder="1" applyAlignment="1">
      <alignment horizontal="center" vertical="center" wrapText="1"/>
    </xf>
    <xf numFmtId="2" fontId="0" fillId="13" borderId="16" xfId="0" applyNumberFormat="1" applyFill="1" applyBorder="1" applyAlignment="1">
      <alignment horizontal="center" vertical="center" wrapText="1"/>
    </xf>
    <xf numFmtId="2" fontId="14" fillId="13" borderId="16" xfId="0" applyNumberFormat="1" applyFont="1" applyFill="1" applyBorder="1" applyAlignment="1">
      <alignment horizontal="center" vertical="center" wrapText="1"/>
    </xf>
    <xf numFmtId="0" fontId="0" fillId="18" borderId="38" xfId="0" applyFill="1" applyBorder="1" applyAlignment="1">
      <alignment horizontal="left" vertical="center" wrapText="1"/>
    </xf>
    <xf numFmtId="0" fontId="0" fillId="14" borderId="38" xfId="0" applyFill="1" applyBorder="1" applyAlignment="1">
      <alignment horizontal="left" vertical="center" wrapText="1"/>
    </xf>
    <xf numFmtId="2" fontId="0" fillId="14" borderId="34" xfId="0" applyNumberFormat="1" applyFill="1" applyBorder="1" applyAlignment="1">
      <alignment horizontal="left" vertical="center"/>
    </xf>
    <xf numFmtId="0" fontId="13" fillId="17" borderId="9" xfId="0" applyFont="1" applyFill="1" applyBorder="1" applyAlignment="1">
      <alignment horizontal="left" vertical="center" wrapText="1"/>
    </xf>
    <xf numFmtId="0" fontId="13" fillId="17" borderId="19" xfId="0" applyFont="1" applyFill="1" applyBorder="1" applyAlignment="1">
      <alignment horizontal="left" vertical="center" wrapText="1"/>
    </xf>
    <xf numFmtId="0" fontId="13"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7" fillId="0" borderId="12" xfId="0" applyFont="1" applyBorder="1" applyAlignment="1">
      <alignment horizontal="right" vertical="center" wrapText="1"/>
    </xf>
    <xf numFmtId="0" fontId="17" fillId="0" borderId="31" xfId="0" applyFont="1" applyBorder="1" applyAlignment="1">
      <alignment horizontal="right" vertical="center" wrapText="1"/>
    </xf>
    <xf numFmtId="0" fontId="13" fillId="16" borderId="9" xfId="0" applyFont="1" applyFill="1" applyBorder="1" applyAlignment="1">
      <alignment horizontal="left" vertical="center" wrapText="1"/>
    </xf>
    <xf numFmtId="0" fontId="13" fillId="16" borderId="19" xfId="0" applyFont="1" applyFill="1" applyBorder="1" applyAlignment="1">
      <alignment horizontal="left" vertical="center" wrapText="1"/>
    </xf>
    <xf numFmtId="9" fontId="17" fillId="8" borderId="12" xfId="1" applyFont="1" applyFill="1" applyBorder="1" applyAlignment="1" applyProtection="1">
      <alignment horizontal="center" vertical="center" wrapText="1"/>
    </xf>
    <xf numFmtId="9" fontId="17" fillId="8" borderId="31" xfId="1" applyFont="1" applyFill="1" applyBorder="1" applyAlignment="1" applyProtection="1">
      <alignment horizontal="center" vertical="center" wrapText="1"/>
    </xf>
    <xf numFmtId="9" fontId="17" fillId="8" borderId="39" xfId="1" applyFont="1" applyFill="1" applyBorder="1" applyAlignment="1" applyProtection="1">
      <alignment horizontal="center" vertical="center" wrapText="1"/>
    </xf>
    <xf numFmtId="9" fontId="17" fillId="9" borderId="12" xfId="1" applyFont="1" applyFill="1" applyBorder="1" applyAlignment="1" applyProtection="1">
      <alignment horizontal="center" vertical="center" wrapText="1"/>
    </xf>
    <xf numFmtId="9" fontId="17" fillId="9" borderId="31" xfId="1" applyFont="1" applyFill="1" applyBorder="1" applyAlignment="1" applyProtection="1">
      <alignment horizontal="center" vertical="center" wrapText="1"/>
    </xf>
    <xf numFmtId="9" fontId="17" fillId="9" borderId="39" xfId="1" applyFont="1" applyFill="1" applyBorder="1" applyAlignment="1" applyProtection="1">
      <alignment horizontal="center" vertical="center" wrapText="1"/>
    </xf>
    <xf numFmtId="9" fontId="17" fillId="10" borderId="12" xfId="1" applyFont="1" applyFill="1" applyBorder="1" applyAlignment="1" applyProtection="1">
      <alignment horizontal="center" vertical="center" wrapText="1"/>
    </xf>
    <xf numFmtId="9" fontId="17" fillId="10" borderId="31" xfId="1" applyFont="1" applyFill="1" applyBorder="1" applyAlignment="1" applyProtection="1">
      <alignment horizontal="center" vertical="center" wrapText="1"/>
    </xf>
    <xf numFmtId="9" fontId="17" fillId="10" borderId="39" xfId="1" applyFont="1" applyFill="1" applyBorder="1" applyAlignment="1" applyProtection="1">
      <alignment horizontal="center" vertical="center" wrapText="1"/>
    </xf>
    <xf numFmtId="0" fontId="0" fillId="0" borderId="0" xfId="0" applyAlignment="1">
      <alignment horizontal="center" vertical="center"/>
    </xf>
    <xf numFmtId="0" fontId="0" fillId="0" borderId="4" xfId="0" applyBorder="1" applyAlignment="1">
      <alignment horizontal="center" vertical="center"/>
    </xf>
    <xf numFmtId="49" fontId="4" fillId="0" borderId="3" xfId="0" applyNumberFormat="1" applyFont="1" applyBorder="1" applyAlignment="1">
      <alignment horizontal="left" vertical="center" wrapText="1"/>
    </xf>
    <xf numFmtId="49" fontId="4" fillId="0" borderId="5" xfId="0" applyNumberFormat="1" applyFont="1" applyBorder="1" applyAlignment="1">
      <alignment horizontal="left" vertical="center" wrapText="1"/>
    </xf>
    <xf numFmtId="0" fontId="4" fillId="8" borderId="3" xfId="0" applyFont="1" applyFill="1" applyBorder="1" applyAlignment="1">
      <alignment horizontal="center" vertical="center" wrapText="1"/>
    </xf>
    <xf numFmtId="0" fontId="4" fillId="8" borderId="8"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left" vertical="center" wrapText="1"/>
    </xf>
    <xf numFmtId="0" fontId="4" fillId="13" borderId="36" xfId="0" applyFont="1" applyFill="1" applyBorder="1" applyAlignment="1">
      <alignment horizontal="center" vertical="center" wrapText="1"/>
    </xf>
    <xf numFmtId="0" fontId="4" fillId="13" borderId="22" xfId="0" applyFont="1" applyFill="1" applyBorder="1" applyAlignment="1">
      <alignment horizontal="center" vertical="center" wrapText="1"/>
    </xf>
    <xf numFmtId="0" fontId="4" fillId="13" borderId="18" xfId="0" applyFont="1" applyFill="1" applyBorder="1" applyAlignment="1">
      <alignment horizontal="center" vertical="center" wrapText="1"/>
    </xf>
    <xf numFmtId="49" fontId="4" fillId="0" borderId="8" xfId="0" applyNumberFormat="1" applyFont="1" applyBorder="1" applyAlignment="1">
      <alignment horizontal="left" vertical="center" wrapText="1"/>
    </xf>
    <xf numFmtId="49" fontId="4" fillId="0" borderId="32" xfId="0" applyNumberFormat="1" applyFont="1" applyBorder="1" applyAlignment="1">
      <alignment horizontal="left" vertical="center" wrapText="1"/>
    </xf>
    <xf numFmtId="49" fontId="17" fillId="0" borderId="14" xfId="0" applyNumberFormat="1" applyFont="1" applyBorder="1" applyAlignment="1">
      <alignment horizontal="right" vertical="center" wrapText="1"/>
    </xf>
    <xf numFmtId="49" fontId="17" fillId="0" borderId="30" xfId="0" applyNumberFormat="1" applyFont="1" applyBorder="1" applyAlignment="1">
      <alignment horizontal="right" vertical="center" wrapText="1"/>
    </xf>
    <xf numFmtId="49" fontId="17" fillId="0" borderId="12" xfId="0" applyNumberFormat="1" applyFont="1" applyBorder="1" applyAlignment="1">
      <alignment horizontal="right" vertical="center" wrapText="1"/>
    </xf>
    <xf numFmtId="49" fontId="17" fillId="0" borderId="39" xfId="0" applyNumberFormat="1" applyFont="1" applyBorder="1" applyAlignment="1">
      <alignment horizontal="right" vertical="center" wrapText="1"/>
    </xf>
    <xf numFmtId="0" fontId="13" fillId="16" borderId="21" xfId="0" applyFont="1" applyFill="1" applyBorder="1" applyAlignment="1">
      <alignment horizontal="left" vertical="center" wrapText="1"/>
    </xf>
    <xf numFmtId="0" fontId="13" fillId="16" borderId="9" xfId="0" applyFont="1" applyFill="1" applyBorder="1" applyAlignment="1">
      <alignment horizontal="left" vertical="center"/>
    </xf>
    <xf numFmtId="0" fontId="13" fillId="16" borderId="21" xfId="0" applyFont="1" applyFill="1" applyBorder="1" applyAlignment="1">
      <alignment horizontal="left" vertical="center"/>
    </xf>
    <xf numFmtId="49" fontId="17" fillId="0" borderId="17" xfId="0" applyNumberFormat="1" applyFont="1" applyBorder="1" applyAlignment="1">
      <alignment horizontal="right" vertical="center" wrapText="1"/>
    </xf>
    <xf numFmtId="0" fontId="14" fillId="16" borderId="9" xfId="0" applyFont="1" applyFill="1" applyBorder="1" applyAlignment="1">
      <alignment horizontal="center" vertical="center"/>
    </xf>
    <xf numFmtId="0" fontId="14" fillId="16" borderId="19" xfId="0" applyFont="1" applyFill="1" applyBorder="1" applyAlignment="1">
      <alignment horizontal="center" vertical="center"/>
    </xf>
    <xf numFmtId="0" fontId="7"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8" fillId="18" borderId="9" xfId="0" applyFont="1" applyFill="1" applyBorder="1" applyAlignment="1">
      <alignment horizontal="center"/>
    </xf>
    <xf numFmtId="0" fontId="18" fillId="18" borderId="19" xfId="0" applyFont="1" applyFill="1" applyBorder="1" applyAlignment="1">
      <alignment horizontal="center"/>
    </xf>
    <xf numFmtId="0" fontId="18"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8" fillId="19" borderId="9" xfId="0" applyFont="1" applyFill="1" applyBorder="1" applyAlignment="1">
      <alignment horizontal="center"/>
    </xf>
    <xf numFmtId="0" fontId="8" fillId="19" borderId="19" xfId="0" applyFont="1" applyFill="1" applyBorder="1" applyAlignment="1">
      <alignment horizontal="center"/>
    </xf>
    <xf numFmtId="0" fontId="8"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9" fillId="11" borderId="33" xfId="0" applyFont="1" applyFill="1" applyBorder="1" applyAlignment="1">
      <alignment horizontal="left" vertical="center"/>
    </xf>
    <xf numFmtId="0" fontId="8" fillId="20" borderId="9" xfId="0" applyFont="1" applyFill="1" applyBorder="1" applyAlignment="1">
      <alignment horizontal="center" vertical="center" wrapText="1"/>
    </xf>
    <xf numFmtId="0" fontId="8" fillId="20" borderId="19" xfId="0" applyFont="1" applyFill="1" applyBorder="1" applyAlignment="1">
      <alignment horizontal="center" vertical="center" wrapText="1"/>
    </xf>
    <xf numFmtId="0" fontId="8" fillId="20" borderId="21" xfId="0" applyFont="1" applyFill="1" applyBorder="1" applyAlignment="1">
      <alignment horizontal="center" vertical="center" wrapText="1"/>
    </xf>
    <xf numFmtId="0" fontId="1" fillId="12" borderId="42" xfId="0" applyFont="1"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12" sqref="G12"/>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09"/>
      <c r="B3" s="9" t="s">
        <v>0</v>
      </c>
      <c r="C3" s="9" t="s">
        <v>1</v>
      </c>
      <c r="D3" s="9" t="s">
        <v>2</v>
      </c>
      <c r="E3" s="199" t="s">
        <v>3</v>
      </c>
      <c r="F3" s="2" t="s">
        <v>4</v>
      </c>
      <c r="G3" t="s">
        <v>5</v>
      </c>
    </row>
    <row r="4" spans="1:7">
      <c r="A4" s="200" t="s">
        <v>6</v>
      </c>
      <c r="B4" s="201">
        <f>(Fonctionnalités!E20)</f>
        <v>0.70750000000000002</v>
      </c>
      <c r="C4" s="202">
        <f>'Assurance Qualité'!C61</f>
        <v>0.78249999999999997</v>
      </c>
      <c r="D4" s="202">
        <f>B4*0.6+C4*0.4 - 0.1*E4</f>
        <v>0.73750000000000004</v>
      </c>
      <c r="F4" s="13">
        <v>15</v>
      </c>
      <c r="G4" s="12">
        <f>D4*F4</f>
        <v>11.0625</v>
      </c>
    </row>
    <row r="5" spans="1:7">
      <c r="A5" s="203" t="s">
        <v>7</v>
      </c>
      <c r="B5" s="204">
        <f>(Fonctionnalités!E36)</f>
        <v>0.83499999999999996</v>
      </c>
      <c r="C5" s="205">
        <f>'Assurance Qualité'!F61</f>
        <v>0.94400000000000006</v>
      </c>
      <c r="D5" s="205">
        <f t="shared" ref="D5:D6" si="0">B5*0.6+C5*0.4 - 0.1*E5</f>
        <v>0.87860000000000005</v>
      </c>
      <c r="F5" s="13">
        <v>25</v>
      </c>
      <c r="G5" s="12">
        <f t="shared" ref="G5:G7" si="1">D5*F5</f>
        <v>21.965</v>
      </c>
    </row>
    <row r="6" spans="1:7">
      <c r="A6" s="206" t="s">
        <v>8</v>
      </c>
      <c r="B6" s="207">
        <f>(Fonctionnalités!E53)</f>
        <v>0.91749999999999998</v>
      </c>
      <c r="C6" s="208">
        <f>'Assurance Qualité'!I61</f>
        <v>0.97699999999999998</v>
      </c>
      <c r="D6" s="208">
        <f t="shared" si="0"/>
        <v>0.94130000000000003</v>
      </c>
      <c r="F6" s="13">
        <v>20</v>
      </c>
      <c r="G6" s="12">
        <f t="shared" si="1"/>
        <v>18.826000000000001</v>
      </c>
    </row>
    <row r="7" spans="1:7">
      <c r="A7" s="10" t="s">
        <v>9</v>
      </c>
      <c r="B7" s="11"/>
      <c r="C7" s="11"/>
      <c r="D7" s="14">
        <v>0.92</v>
      </c>
      <c r="F7" s="2">
        <v>10</v>
      </c>
      <c r="G7" s="12">
        <f t="shared" si="1"/>
        <v>9.2000000000000011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abSelected="1" topLeftCell="A37" zoomScaleNormal="100" workbookViewId="0">
      <selection activeCell="A41" sqref="A41"/>
    </sheetView>
  </sheetViews>
  <sheetFormatPr defaultColWidth="9.140625" defaultRowHeight="15"/>
  <cols>
    <col min="1" max="1" width="22.7109375" style="1" customWidth="1"/>
    <col min="2" max="2" width="72.140625" style="17" customWidth="1"/>
    <col min="3" max="4" width="10.7109375" style="1" customWidth="1"/>
    <col min="5" max="5" width="16.7109375" style="17" customWidth="1"/>
    <col min="6" max="7" width="10.7109375" customWidth="1"/>
    <col min="8" max="8" width="26.42578125" style="17" customWidth="1"/>
    <col min="9" max="10" width="10.7109375" customWidth="1"/>
    <col min="11" max="11" width="53.28515625" style="17" customWidth="1"/>
    <col min="12" max="13" width="12.7109375" customWidth="1"/>
    <col min="14" max="16" width="15.7109375" customWidth="1"/>
    <col min="17" max="1029" width="11.42578125"/>
  </cols>
  <sheetData>
    <row r="2" spans="1:17" ht="18.399999999999999" customHeight="1">
      <c r="A2" s="278" t="s">
        <v>10</v>
      </c>
      <c r="B2" s="278"/>
      <c r="C2" s="278"/>
      <c r="D2" s="278"/>
      <c r="E2" s="278"/>
      <c r="F2" s="278"/>
      <c r="G2" s="278"/>
      <c r="H2" s="278"/>
      <c r="I2" s="278"/>
      <c r="J2" s="278"/>
      <c r="K2" s="278"/>
      <c r="L2" s="8"/>
      <c r="M2" s="8"/>
    </row>
    <row r="4" spans="1:17" ht="18.399999999999999" customHeight="1">
      <c r="A4" s="279" t="s">
        <v>11</v>
      </c>
      <c r="B4" s="279"/>
      <c r="C4" s="279"/>
      <c r="D4" s="279"/>
      <c r="E4" s="279"/>
      <c r="F4" s="279"/>
      <c r="G4" s="279"/>
      <c r="H4" s="279"/>
      <c r="I4" s="279"/>
      <c r="J4" s="279"/>
      <c r="K4" s="279"/>
      <c r="L4" s="5"/>
      <c r="M4" s="5"/>
    </row>
    <row r="5" spans="1:17" ht="19.5" thickBot="1">
      <c r="A5" s="18"/>
      <c r="B5" s="210"/>
      <c r="C5" s="3"/>
      <c r="D5" s="3"/>
      <c r="E5" s="210"/>
      <c r="F5" s="3"/>
      <c r="G5" s="3"/>
      <c r="H5" s="210"/>
      <c r="I5" s="3"/>
      <c r="J5" s="3"/>
      <c r="K5" s="210"/>
      <c r="L5" s="3"/>
      <c r="M5" s="3"/>
    </row>
    <row r="6" spans="1:17" ht="18.399999999999999" customHeight="1">
      <c r="A6" s="271" t="s">
        <v>12</v>
      </c>
      <c r="B6" s="283" t="s">
        <v>13</v>
      </c>
      <c r="C6" s="273" t="s">
        <v>6</v>
      </c>
      <c r="D6" s="274"/>
      <c r="E6" s="274"/>
      <c r="F6" s="275" t="s">
        <v>7</v>
      </c>
      <c r="G6" s="276"/>
      <c r="H6" s="277"/>
      <c r="I6" s="280" t="s">
        <v>8</v>
      </c>
      <c r="J6" s="281"/>
      <c r="K6" s="282"/>
      <c r="L6" s="4"/>
      <c r="M6" s="4"/>
      <c r="N6" s="269"/>
      <c r="O6" s="270"/>
      <c r="P6" s="270"/>
    </row>
    <row r="7" spans="1:17" ht="19.5" thickBot="1">
      <c r="A7" s="272"/>
      <c r="B7" s="284"/>
      <c r="C7" s="22" t="s">
        <v>14</v>
      </c>
      <c r="D7" s="23" t="s">
        <v>4</v>
      </c>
      <c r="E7" s="29" t="s">
        <v>15</v>
      </c>
      <c r="F7" s="24" t="s">
        <v>14</v>
      </c>
      <c r="G7" s="25" t="s">
        <v>4</v>
      </c>
      <c r="H7" s="28" t="s">
        <v>15</v>
      </c>
      <c r="I7" s="26" t="s">
        <v>14</v>
      </c>
      <c r="J7" s="27" t="s">
        <v>4</v>
      </c>
      <c r="K7" s="30" t="s">
        <v>15</v>
      </c>
      <c r="L7" s="4"/>
      <c r="M7" s="4"/>
      <c r="N7" s="209"/>
      <c r="O7" s="209"/>
      <c r="P7" s="209"/>
      <c r="Q7" s="209"/>
    </row>
    <row r="8" spans="1:17" s="20" customFormat="1" ht="18.399999999999999" customHeight="1">
      <c r="A8" s="258" t="s">
        <v>16</v>
      </c>
      <c r="B8" s="289"/>
      <c r="C8" s="293" t="s">
        <v>17</v>
      </c>
      <c r="D8" s="294"/>
      <c r="E8" s="58" t="s">
        <v>18</v>
      </c>
      <c r="F8" s="293" t="s">
        <v>17</v>
      </c>
      <c r="G8" s="294"/>
      <c r="H8" s="58" t="s">
        <v>18</v>
      </c>
      <c r="I8" s="293" t="s">
        <v>17</v>
      </c>
      <c r="J8" s="294"/>
      <c r="K8" s="58"/>
      <c r="L8" s="19"/>
      <c r="M8" s="19"/>
    </row>
    <row r="9" spans="1:17" ht="210">
      <c r="A9" s="75" t="s">
        <v>19</v>
      </c>
      <c r="B9" s="76" t="s">
        <v>20</v>
      </c>
      <c r="C9" s="215">
        <f>(3-2*0.5)/3</f>
        <v>0.66666666666666663</v>
      </c>
      <c r="D9" s="47">
        <v>3</v>
      </c>
      <c r="E9" s="229" t="s">
        <v>21</v>
      </c>
      <c r="F9" s="51">
        <f>3/3</f>
        <v>1</v>
      </c>
      <c r="G9" s="48">
        <v>3</v>
      </c>
      <c r="H9" s="52" t="s">
        <v>22</v>
      </c>
      <c r="I9" s="53">
        <f>(3-0)/3</f>
        <v>1</v>
      </c>
      <c r="J9" s="49">
        <v>3</v>
      </c>
      <c r="K9" s="50"/>
      <c r="L9" s="6"/>
      <c r="M9" s="6"/>
    </row>
    <row r="10" spans="1:17" ht="60">
      <c r="A10" s="21" t="s">
        <v>23</v>
      </c>
      <c r="B10" s="31" t="s">
        <v>24</v>
      </c>
      <c r="C10" s="35">
        <f>2/2</f>
        <v>1</v>
      </c>
      <c r="D10" s="32">
        <v>2</v>
      </c>
      <c r="E10" s="36"/>
      <c r="F10" s="37">
        <f>2/2</f>
        <v>1</v>
      </c>
      <c r="G10" s="33">
        <v>2</v>
      </c>
      <c r="H10" s="38"/>
      <c r="I10" s="39">
        <f>(2-0)/2</f>
        <v>1</v>
      </c>
      <c r="J10" s="34">
        <v>2</v>
      </c>
      <c r="K10" s="40"/>
      <c r="L10" s="6"/>
      <c r="M10" s="6"/>
    </row>
    <row r="11" spans="1:17" ht="60">
      <c r="A11" s="21" t="s">
        <v>25</v>
      </c>
      <c r="B11" s="31" t="s">
        <v>26</v>
      </c>
      <c r="C11" s="230">
        <f>(3-0.5)/3</f>
        <v>0.83333333333333337</v>
      </c>
      <c r="D11" s="32">
        <v>3</v>
      </c>
      <c r="E11" s="36" t="s">
        <v>27</v>
      </c>
      <c r="F11" s="37">
        <f>3/3</f>
        <v>1</v>
      </c>
      <c r="G11" s="33">
        <v>3</v>
      </c>
      <c r="H11" s="38"/>
      <c r="I11" s="246">
        <f>(3-0.2)/3</f>
        <v>0.93333333333333324</v>
      </c>
      <c r="J11" s="34">
        <v>3</v>
      </c>
      <c r="K11" s="40" t="s">
        <v>28</v>
      </c>
      <c r="L11" s="6"/>
      <c r="M11" s="6"/>
    </row>
    <row r="12" spans="1:17" ht="198.75" customHeight="1">
      <c r="A12" s="21" t="s">
        <v>29</v>
      </c>
      <c r="B12" s="31" t="s">
        <v>30</v>
      </c>
      <c r="C12" s="35">
        <f>(2-1)/2</f>
        <v>0.5</v>
      </c>
      <c r="D12" s="32">
        <v>2</v>
      </c>
      <c r="E12" s="36" t="s">
        <v>31</v>
      </c>
      <c r="F12" s="37">
        <f>2/2</f>
        <v>1</v>
      </c>
      <c r="G12" s="33">
        <v>2</v>
      </c>
      <c r="H12" s="38" t="s">
        <v>32</v>
      </c>
      <c r="I12" s="39">
        <f>(2-0.2)/2</f>
        <v>0.9</v>
      </c>
      <c r="J12" s="34">
        <v>2</v>
      </c>
      <c r="K12" s="40" t="s">
        <v>33</v>
      </c>
      <c r="L12" s="6"/>
      <c r="M12" s="6"/>
    </row>
    <row r="13" spans="1:17" ht="225">
      <c r="A13" s="21" t="s">
        <v>34</v>
      </c>
      <c r="B13" s="31" t="s">
        <v>35</v>
      </c>
      <c r="C13" s="35">
        <f>(4-2)/4</f>
        <v>0.5</v>
      </c>
      <c r="D13" s="32">
        <v>4</v>
      </c>
      <c r="E13" s="36" t="s">
        <v>36</v>
      </c>
      <c r="F13" s="37">
        <f>(4-3*0.2)/4</f>
        <v>0.85</v>
      </c>
      <c r="G13" s="33">
        <v>4</v>
      </c>
      <c r="H13" s="38" t="s">
        <v>37</v>
      </c>
      <c r="I13" s="39">
        <f>(4-2*0.2)/4</f>
        <v>0.9</v>
      </c>
      <c r="J13" s="34">
        <v>4</v>
      </c>
      <c r="K13" s="40" t="s">
        <v>38</v>
      </c>
      <c r="L13" s="6"/>
      <c r="M13" s="6"/>
    </row>
    <row r="14" spans="1:17" s="94" customFormat="1" ht="16.5" thickBot="1">
      <c r="A14" s="285" t="s">
        <v>39</v>
      </c>
      <c r="B14" s="286"/>
      <c r="C14" s="84">
        <f>SUMPRODUCT(C9:C13,D9:D13)</f>
        <v>9.5</v>
      </c>
      <c r="D14" s="85">
        <f>SUM(D9:D13)</f>
        <v>14</v>
      </c>
      <c r="E14" s="86"/>
      <c r="F14" s="87">
        <f>SUMPRODUCT(F9:F13,G9:G13)</f>
        <v>13.4</v>
      </c>
      <c r="G14" s="88">
        <f>SUM(G9:G13)</f>
        <v>14</v>
      </c>
      <c r="H14" s="89"/>
      <c r="I14" s="90">
        <f>SUMPRODUCT(I9:I13,J9:J13)</f>
        <v>13.2</v>
      </c>
      <c r="J14" s="91">
        <f>SUM(J9:J13)</f>
        <v>14</v>
      </c>
      <c r="K14" s="92"/>
      <c r="L14" s="93"/>
      <c r="M14" s="93"/>
    </row>
    <row r="15" spans="1:17" s="20" customFormat="1" ht="18.399999999999999" customHeight="1">
      <c r="A15" s="290" t="s">
        <v>40</v>
      </c>
      <c r="B15" s="291"/>
      <c r="C15" s="293" t="s">
        <v>17</v>
      </c>
      <c r="D15" s="294"/>
      <c r="E15" s="58" t="s">
        <v>41</v>
      </c>
      <c r="F15" s="293" t="s">
        <v>17</v>
      </c>
      <c r="G15" s="294"/>
      <c r="H15" s="58" t="s">
        <v>41</v>
      </c>
      <c r="I15" s="293" t="s">
        <v>17</v>
      </c>
      <c r="J15" s="294"/>
      <c r="K15" s="58"/>
      <c r="L15" s="19"/>
      <c r="M15" s="19"/>
    </row>
    <row r="16" spans="1:17" ht="90">
      <c r="A16" s="75" t="s">
        <v>42</v>
      </c>
      <c r="B16" s="76" t="s">
        <v>43</v>
      </c>
      <c r="C16" s="231">
        <f>1.75/2</f>
        <v>0.875</v>
      </c>
      <c r="D16" s="60">
        <v>2</v>
      </c>
      <c r="E16" s="61" t="s">
        <v>44</v>
      </c>
      <c r="F16" s="65">
        <f>1.5/2</f>
        <v>0.75</v>
      </c>
      <c r="G16" s="66">
        <v>2</v>
      </c>
      <c r="H16" s="67" t="s">
        <v>45</v>
      </c>
      <c r="I16" s="71">
        <v>1</v>
      </c>
      <c r="J16" s="72">
        <v>2</v>
      </c>
      <c r="K16" s="73"/>
      <c r="L16" s="6"/>
      <c r="M16" s="6"/>
    </row>
    <row r="17" spans="1:13" ht="30">
      <c r="A17" s="21" t="s">
        <v>46</v>
      </c>
      <c r="B17" s="31" t="s">
        <v>47</v>
      </c>
      <c r="C17" s="45">
        <v>1</v>
      </c>
      <c r="D17" s="41">
        <v>3</v>
      </c>
      <c r="E17" s="62"/>
      <c r="F17" s="237">
        <f>2.5/3</f>
        <v>0.83333333333333337</v>
      </c>
      <c r="G17" s="42">
        <v>3</v>
      </c>
      <c r="H17" s="69" t="s">
        <v>48</v>
      </c>
      <c r="I17" s="74">
        <v>1</v>
      </c>
      <c r="J17" s="44">
        <v>3</v>
      </c>
      <c r="K17" s="46"/>
      <c r="L17" s="6"/>
      <c r="M17" s="6"/>
    </row>
    <row r="18" spans="1:13" ht="45">
      <c r="A18" s="21" t="s">
        <v>49</v>
      </c>
      <c r="B18" s="31" t="s">
        <v>50</v>
      </c>
      <c r="C18" s="220">
        <f>2.75/3</f>
        <v>0.91666666666666663</v>
      </c>
      <c r="D18" s="41">
        <v>3</v>
      </c>
      <c r="E18" s="62" t="s">
        <v>51</v>
      </c>
      <c r="F18" s="68">
        <v>1</v>
      </c>
      <c r="G18" s="42">
        <v>3</v>
      </c>
      <c r="H18" s="69"/>
      <c r="I18" s="247">
        <f>2.75/3</f>
        <v>0.91666666666666663</v>
      </c>
      <c r="J18" s="44">
        <v>3</v>
      </c>
      <c r="K18" s="46" t="s">
        <v>52</v>
      </c>
      <c r="L18" s="6"/>
      <c r="M18" s="6"/>
    </row>
    <row r="19" spans="1:13">
      <c r="A19" s="21" t="s">
        <v>53</v>
      </c>
      <c r="B19" s="31" t="s">
        <v>54</v>
      </c>
      <c r="C19" s="45">
        <v>1</v>
      </c>
      <c r="D19" s="41">
        <v>3</v>
      </c>
      <c r="E19" s="62"/>
      <c r="F19" s="68">
        <v>1</v>
      </c>
      <c r="G19" s="42">
        <v>3</v>
      </c>
      <c r="H19" s="69"/>
      <c r="I19" s="74">
        <v>1</v>
      </c>
      <c r="J19" s="44">
        <v>3</v>
      </c>
      <c r="K19" s="46"/>
      <c r="L19" s="6"/>
      <c r="M19" s="6"/>
    </row>
    <row r="20" spans="1:13" ht="30">
      <c r="A20" s="21" t="s">
        <v>55</v>
      </c>
      <c r="B20" s="31" t="s">
        <v>56</v>
      </c>
      <c r="C20" s="45">
        <v>1</v>
      </c>
      <c r="D20" s="41">
        <v>2</v>
      </c>
      <c r="E20" s="62"/>
      <c r="F20" s="68">
        <v>1</v>
      </c>
      <c r="G20" s="42">
        <v>2</v>
      </c>
      <c r="H20" s="69"/>
      <c r="I20" s="74">
        <v>1</v>
      </c>
      <c r="J20" s="44">
        <v>2</v>
      </c>
      <c r="K20" s="46"/>
      <c r="L20" s="6"/>
      <c r="M20" s="6"/>
    </row>
    <row r="21" spans="1:13" s="94" customFormat="1" ht="15.75">
      <c r="A21" s="292" t="s">
        <v>39</v>
      </c>
      <c r="B21" s="288"/>
      <c r="C21" s="95">
        <f>SUMPRODUCT(C16:C20,D16:D20)</f>
        <v>12.5</v>
      </c>
      <c r="D21" s="96">
        <f>SUM(D16:D20)</f>
        <v>13</v>
      </c>
      <c r="E21" s="97"/>
      <c r="F21" s="98">
        <f>SUMPRODUCT(F16:F20,G16:G20)</f>
        <v>12</v>
      </c>
      <c r="G21" s="99">
        <f>SUM(G16:G20)</f>
        <v>13</v>
      </c>
      <c r="H21" s="100"/>
      <c r="I21" s="101">
        <f>SUMPRODUCT(I16:I20,J16:J20)</f>
        <v>12.75</v>
      </c>
      <c r="J21" s="102">
        <f>SUM(J16:J20)</f>
        <v>13</v>
      </c>
      <c r="K21" s="103"/>
      <c r="L21" s="93"/>
      <c r="M21" s="93"/>
    </row>
    <row r="22" spans="1:13" ht="18.399999999999999" customHeight="1" thickBot="1">
      <c r="A22" s="258" t="s">
        <v>57</v>
      </c>
      <c r="B22" s="289"/>
      <c r="C22" s="293" t="s">
        <v>17</v>
      </c>
      <c r="D22" s="294"/>
      <c r="E22" s="58" t="s">
        <v>18</v>
      </c>
      <c r="F22" s="293" t="s">
        <v>17</v>
      </c>
      <c r="G22" s="294"/>
      <c r="H22" s="58" t="s">
        <v>18</v>
      </c>
      <c r="I22" s="293" t="s">
        <v>17</v>
      </c>
      <c r="J22" s="294"/>
      <c r="K22" s="58"/>
      <c r="L22" s="5"/>
      <c r="M22" s="5"/>
    </row>
    <row r="23" spans="1:13" ht="75">
      <c r="A23" s="77" t="s">
        <v>58</v>
      </c>
      <c r="B23" s="78" t="s">
        <v>59</v>
      </c>
      <c r="C23" s="81">
        <f>(2-2*0.25)/2</f>
        <v>0.75</v>
      </c>
      <c r="D23" s="82">
        <v>2</v>
      </c>
      <c r="E23" s="83" t="s">
        <v>60</v>
      </c>
      <c r="F23" s="106">
        <f>2/2</f>
        <v>1</v>
      </c>
      <c r="G23" s="107">
        <v>2</v>
      </c>
      <c r="H23" s="108" t="s">
        <v>61</v>
      </c>
      <c r="I23" s="111">
        <f>(2-2*0.25)/2</f>
        <v>0.75</v>
      </c>
      <c r="J23" s="112">
        <v>2</v>
      </c>
      <c r="K23" s="113" t="s">
        <v>62</v>
      </c>
      <c r="L23" s="6"/>
      <c r="M23" s="6"/>
    </row>
    <row r="24" spans="1:13" ht="30">
      <c r="A24" s="79" t="s">
        <v>63</v>
      </c>
      <c r="B24" s="80" t="s">
        <v>64</v>
      </c>
      <c r="C24" s="45">
        <f>(1-0.25)/1</f>
        <v>0.75</v>
      </c>
      <c r="D24" s="41">
        <v>1</v>
      </c>
      <c r="E24" s="62" t="s">
        <v>65</v>
      </c>
      <c r="F24" s="68">
        <f>1/1</f>
        <v>1</v>
      </c>
      <c r="G24" s="42">
        <v>1</v>
      </c>
      <c r="H24" s="69"/>
      <c r="I24" s="74">
        <f>1/1</f>
        <v>1</v>
      </c>
      <c r="J24" s="44">
        <v>1</v>
      </c>
      <c r="K24" s="46"/>
      <c r="L24" s="6"/>
      <c r="M24" s="6"/>
    </row>
    <row r="25" spans="1:13" ht="60">
      <c r="A25" s="79" t="s">
        <v>66</v>
      </c>
      <c r="B25" s="80" t="s">
        <v>67</v>
      </c>
      <c r="C25" s="45">
        <f>1/1</f>
        <v>1</v>
      </c>
      <c r="D25" s="41">
        <v>1</v>
      </c>
      <c r="E25" s="62"/>
      <c r="F25" s="68">
        <f>1/1</f>
        <v>1</v>
      </c>
      <c r="G25" s="42">
        <v>1</v>
      </c>
      <c r="H25" s="69" t="s">
        <v>68</v>
      </c>
      <c r="I25" s="74">
        <f>1/1</f>
        <v>1</v>
      </c>
      <c r="J25" s="44">
        <v>1</v>
      </c>
      <c r="K25" s="46"/>
      <c r="L25" s="6"/>
      <c r="M25" s="6"/>
    </row>
    <row r="26" spans="1:13" s="94" customFormat="1" ht="16.5" thickBot="1">
      <c r="A26" s="287" t="s">
        <v>39</v>
      </c>
      <c r="B26" s="288"/>
      <c r="C26" s="84">
        <f>SUMPRODUCT(C23:C25,D23:D25)</f>
        <v>3.25</v>
      </c>
      <c r="D26" s="85">
        <f>SUM(D23:D25)</f>
        <v>4</v>
      </c>
      <c r="E26" s="86"/>
      <c r="F26" s="98">
        <f>SUMPRODUCT(F23:F25,G23:G25)</f>
        <v>4</v>
      </c>
      <c r="G26" s="99">
        <f>SUM(G23:G25)</f>
        <v>4</v>
      </c>
      <c r="H26" s="100"/>
      <c r="I26" s="101">
        <f>SUMPRODUCT(I23:I25,J23:J25)</f>
        <v>3.5</v>
      </c>
      <c r="J26" s="102">
        <f>SUM(J23:J25)</f>
        <v>4</v>
      </c>
      <c r="K26" s="103"/>
      <c r="L26" s="93"/>
      <c r="M26" s="93"/>
    </row>
    <row r="27" spans="1:13" ht="18.399999999999999" customHeight="1">
      <c r="A27" s="258" t="s">
        <v>69</v>
      </c>
      <c r="B27" s="289"/>
      <c r="C27" s="293" t="s">
        <v>17</v>
      </c>
      <c r="D27" s="294"/>
      <c r="E27" s="58" t="s">
        <v>41</v>
      </c>
      <c r="F27" s="293" t="s">
        <v>17</v>
      </c>
      <c r="G27" s="294"/>
      <c r="H27" s="57" t="s">
        <v>41</v>
      </c>
      <c r="I27" s="293" t="s">
        <v>17</v>
      </c>
      <c r="J27" s="294"/>
      <c r="K27" s="58"/>
      <c r="L27" s="16"/>
      <c r="M27" s="5"/>
    </row>
    <row r="28" spans="1:13" ht="45">
      <c r="A28" s="117" t="s">
        <v>70</v>
      </c>
      <c r="B28" s="118" t="s">
        <v>71</v>
      </c>
      <c r="C28" s="109">
        <v>1</v>
      </c>
      <c r="D28" s="59">
        <v>2</v>
      </c>
      <c r="E28" s="110"/>
      <c r="F28" s="104">
        <v>1</v>
      </c>
      <c r="G28" s="63">
        <v>2</v>
      </c>
      <c r="H28" s="64"/>
      <c r="I28" s="115">
        <v>1</v>
      </c>
      <c r="J28" s="70">
        <v>2</v>
      </c>
      <c r="K28" s="116"/>
      <c r="L28" s="6"/>
      <c r="M28" s="6"/>
    </row>
    <row r="29" spans="1:13" ht="60" customHeight="1">
      <c r="A29" s="54" t="s">
        <v>72</v>
      </c>
      <c r="B29" s="55" t="s">
        <v>73</v>
      </c>
      <c r="C29" s="220">
        <f>1.75/2</f>
        <v>0.875</v>
      </c>
      <c r="D29" s="41">
        <v>2</v>
      </c>
      <c r="E29" s="62" t="s">
        <v>74</v>
      </c>
      <c r="F29" s="68">
        <v>1</v>
      </c>
      <c r="G29" s="42">
        <v>2</v>
      </c>
      <c r="H29" s="43"/>
      <c r="I29" s="74">
        <v>1</v>
      </c>
      <c r="J29" s="44">
        <v>2</v>
      </c>
      <c r="K29" s="46"/>
      <c r="L29" s="6"/>
      <c r="M29" s="6"/>
    </row>
    <row r="30" spans="1:13" ht="60">
      <c r="A30" s="21" t="s">
        <v>75</v>
      </c>
      <c r="B30" s="55" t="s">
        <v>76</v>
      </c>
      <c r="C30" s="220">
        <f>1.75/2</f>
        <v>0.875</v>
      </c>
      <c r="D30" s="41">
        <v>2</v>
      </c>
      <c r="E30" s="62" t="s">
        <v>77</v>
      </c>
      <c r="F30" s="68">
        <v>1</v>
      </c>
      <c r="G30" s="42">
        <v>2</v>
      </c>
      <c r="H30" s="43"/>
      <c r="I30" s="74">
        <v>1</v>
      </c>
      <c r="J30" s="44">
        <v>2</v>
      </c>
      <c r="K30" s="46"/>
      <c r="L30" s="6"/>
      <c r="M30" s="6"/>
    </row>
    <row r="31" spans="1:13" ht="60">
      <c r="A31" s="21" t="s">
        <v>78</v>
      </c>
      <c r="B31" s="55" t="s">
        <v>79</v>
      </c>
      <c r="C31" s="220">
        <f>2.75/3</f>
        <v>0.91666666666666663</v>
      </c>
      <c r="D31" s="41">
        <v>3</v>
      </c>
      <c r="E31" s="62" t="s">
        <v>80</v>
      </c>
      <c r="F31" s="68">
        <v>1</v>
      </c>
      <c r="G31" s="42">
        <v>3</v>
      </c>
      <c r="H31" s="43"/>
      <c r="I31" s="247">
        <f>2.75/3</f>
        <v>0.91666666666666663</v>
      </c>
      <c r="J31" s="44">
        <v>3</v>
      </c>
      <c r="K31" s="46" t="s">
        <v>81</v>
      </c>
      <c r="L31" s="6"/>
      <c r="M31" s="6"/>
    </row>
    <row r="32" spans="1:13" s="94" customFormat="1" ht="16.5" thickBot="1">
      <c r="A32" s="285" t="s">
        <v>39</v>
      </c>
      <c r="B32" s="286"/>
      <c r="C32" s="84">
        <f>SUMPRODUCT(C28:C31,D28:D31)</f>
        <v>8.25</v>
      </c>
      <c r="D32" s="85">
        <f>SUM(D28:D31)</f>
        <v>9</v>
      </c>
      <c r="E32" s="86"/>
      <c r="F32" s="87">
        <f>SUMPRODUCT(F28:F31,G28:G31)</f>
        <v>9</v>
      </c>
      <c r="G32" s="88">
        <f>SUM(G28:G31)</f>
        <v>9</v>
      </c>
      <c r="H32" s="114"/>
      <c r="I32" s="101">
        <f>SUMPRODUCT(I28:I31,J28:J31)</f>
        <v>8.75</v>
      </c>
      <c r="J32" s="102">
        <f>SUM(J28:J31)</f>
        <v>9</v>
      </c>
      <c r="K32" s="103"/>
      <c r="L32" s="93"/>
      <c r="M32" s="93"/>
    </row>
    <row r="33" spans="1:13" ht="18.399999999999999" customHeight="1">
      <c r="A33" s="258" t="s">
        <v>82</v>
      </c>
      <c r="B33" s="259"/>
      <c r="C33" s="293" t="s">
        <v>17</v>
      </c>
      <c r="D33" s="294"/>
      <c r="E33" s="58" t="s">
        <v>18</v>
      </c>
      <c r="F33" s="293" t="s">
        <v>17</v>
      </c>
      <c r="G33" s="294"/>
      <c r="H33" s="58" t="s">
        <v>18</v>
      </c>
      <c r="I33" s="56" t="s">
        <v>17</v>
      </c>
      <c r="J33" s="57"/>
      <c r="K33" s="58"/>
      <c r="L33" s="15"/>
      <c r="M33" s="5"/>
    </row>
    <row r="34" spans="1:13" ht="30">
      <c r="A34" s="117" t="s">
        <v>83</v>
      </c>
      <c r="B34" s="76" t="s">
        <v>84</v>
      </c>
      <c r="C34" s="109">
        <f>(1-0.25)/1</f>
        <v>0.75</v>
      </c>
      <c r="D34" s="59">
        <v>1</v>
      </c>
      <c r="E34" s="110" t="s">
        <v>85</v>
      </c>
      <c r="F34" s="104">
        <f>1/1</f>
        <v>1</v>
      </c>
      <c r="G34" s="63">
        <v>1</v>
      </c>
      <c r="H34" s="105"/>
      <c r="I34" s="115">
        <f>1/1</f>
        <v>1</v>
      </c>
      <c r="J34" s="70">
        <v>1</v>
      </c>
      <c r="K34" s="116"/>
      <c r="L34" s="6"/>
      <c r="M34" s="6"/>
    </row>
    <row r="35" spans="1:13" ht="71.25" customHeight="1">
      <c r="A35" s="54" t="s">
        <v>86</v>
      </c>
      <c r="B35" s="31" t="s">
        <v>87</v>
      </c>
      <c r="C35" s="45">
        <f>(1-2*0.25)/1</f>
        <v>0.5</v>
      </c>
      <c r="D35" s="41">
        <v>1</v>
      </c>
      <c r="E35" s="62" t="s">
        <v>88</v>
      </c>
      <c r="F35" s="68">
        <f>(1-0.25)/1</f>
        <v>0.75</v>
      </c>
      <c r="G35" s="42">
        <v>1</v>
      </c>
      <c r="H35" s="69" t="s">
        <v>89</v>
      </c>
      <c r="I35" s="74">
        <f>(1-0.25)/1</f>
        <v>0.75</v>
      </c>
      <c r="J35" s="44">
        <v>1</v>
      </c>
      <c r="K35" s="46" t="s">
        <v>90</v>
      </c>
      <c r="L35" s="6"/>
      <c r="M35" s="6"/>
    </row>
    <row r="36" spans="1:13" ht="120">
      <c r="A36" s="21" t="s">
        <v>91</v>
      </c>
      <c r="B36" s="31" t="s">
        <v>92</v>
      </c>
      <c r="C36" s="220">
        <f>(3-0.5)/3</f>
        <v>0.83333333333333337</v>
      </c>
      <c r="D36" s="41">
        <v>3</v>
      </c>
      <c r="E36" s="62" t="s">
        <v>93</v>
      </c>
      <c r="F36" s="237">
        <f>(3-0.25)/3</f>
        <v>0.91666666666666663</v>
      </c>
      <c r="G36" s="42">
        <v>3</v>
      </c>
      <c r="H36" s="69" t="s">
        <v>94</v>
      </c>
      <c r="I36" s="74">
        <f>3/3</f>
        <v>1</v>
      </c>
      <c r="J36" s="44">
        <v>3</v>
      </c>
      <c r="K36" s="46"/>
      <c r="L36" s="6"/>
      <c r="M36" s="6"/>
    </row>
    <row r="37" spans="1:13" ht="150">
      <c r="A37" s="21" t="s">
        <v>95</v>
      </c>
      <c r="B37" s="31" t="s">
        <v>96</v>
      </c>
      <c r="C37" s="45">
        <f>(3-3*0.25)/3</f>
        <v>0.75</v>
      </c>
      <c r="D37" s="41">
        <v>3</v>
      </c>
      <c r="E37" s="62" t="s">
        <v>97</v>
      </c>
      <c r="F37" s="237">
        <f>(3-2*0.25)/3</f>
        <v>0.83333333333333337</v>
      </c>
      <c r="G37" s="42">
        <v>3</v>
      </c>
      <c r="H37" s="69" t="s">
        <v>98</v>
      </c>
      <c r="I37" s="247">
        <f>(3-0.25)/3</f>
        <v>0.91666666666666663</v>
      </c>
      <c r="J37" s="44">
        <v>3</v>
      </c>
      <c r="K37" s="46" t="s">
        <v>99</v>
      </c>
      <c r="L37" s="6"/>
      <c r="M37" s="6"/>
    </row>
    <row r="38" spans="1:13" s="94" customFormat="1" ht="16.5" thickBot="1">
      <c r="A38" s="285" t="s">
        <v>39</v>
      </c>
      <c r="B38" s="286"/>
      <c r="C38" s="119">
        <f>SUMPRODUCT(C34:C37,D34:D37)</f>
        <v>6</v>
      </c>
      <c r="D38" s="85">
        <f>SUM(D34:D37)</f>
        <v>8</v>
      </c>
      <c r="E38" s="86"/>
      <c r="F38" s="120">
        <f>SUMPRODUCT(F34:F37,G34:G37)</f>
        <v>7</v>
      </c>
      <c r="G38" s="88">
        <f>SUM(G34:G37)</f>
        <v>8</v>
      </c>
      <c r="H38" s="89"/>
      <c r="I38" s="101">
        <f>SUMPRODUCT(I34:I37,J34:J37)</f>
        <v>7.5</v>
      </c>
      <c r="J38" s="102">
        <f>SUM(J34:J37)</f>
        <v>8</v>
      </c>
      <c r="K38" s="103"/>
      <c r="L38" s="93"/>
      <c r="M38" s="93"/>
    </row>
    <row r="39" spans="1:13" ht="18.399999999999999" customHeight="1" thickBot="1">
      <c r="A39" s="258" t="s">
        <v>100</v>
      </c>
      <c r="B39" s="289"/>
      <c r="C39" s="293" t="s">
        <v>17</v>
      </c>
      <c r="D39" s="294"/>
      <c r="E39" s="57" t="s">
        <v>41</v>
      </c>
      <c r="F39" s="293" t="s">
        <v>17</v>
      </c>
      <c r="G39" s="294"/>
      <c r="H39" s="58" t="s">
        <v>41</v>
      </c>
      <c r="I39" s="293" t="s">
        <v>17</v>
      </c>
      <c r="J39" s="294"/>
      <c r="K39" s="58"/>
      <c r="L39" s="5"/>
      <c r="M39" s="5"/>
    </row>
    <row r="40" spans="1:13" ht="60">
      <c r="A40" s="75" t="s">
        <v>101</v>
      </c>
      <c r="B40" s="76" t="s">
        <v>102</v>
      </c>
      <c r="C40" s="81">
        <v>0.5</v>
      </c>
      <c r="D40" s="82">
        <v>1</v>
      </c>
      <c r="E40" s="83" t="s">
        <v>103</v>
      </c>
      <c r="F40" s="106">
        <v>1</v>
      </c>
      <c r="G40" s="107">
        <v>1</v>
      </c>
      <c r="H40" s="108"/>
      <c r="I40" s="111">
        <v>1</v>
      </c>
      <c r="J40" s="112">
        <v>1</v>
      </c>
      <c r="K40" s="113"/>
      <c r="L40" s="6"/>
      <c r="M40" s="6"/>
    </row>
    <row r="41" spans="1:13" ht="30">
      <c r="A41" s="21" t="s">
        <v>104</v>
      </c>
      <c r="B41" s="31" t="s">
        <v>105</v>
      </c>
      <c r="C41" s="45">
        <v>1</v>
      </c>
      <c r="D41" s="41">
        <v>4</v>
      </c>
      <c r="E41" s="62"/>
      <c r="F41" s="68">
        <v>1</v>
      </c>
      <c r="G41" s="42">
        <v>4</v>
      </c>
      <c r="H41" s="69"/>
      <c r="I41" s="74">
        <v>1</v>
      </c>
      <c r="J41" s="44">
        <v>4</v>
      </c>
      <c r="K41" s="46"/>
      <c r="L41" s="6"/>
      <c r="M41" s="6"/>
    </row>
    <row r="42" spans="1:13" ht="30">
      <c r="A42" s="21" t="s">
        <v>106</v>
      </c>
      <c r="B42" s="31" t="s">
        <v>107</v>
      </c>
      <c r="C42" s="45">
        <v>1</v>
      </c>
      <c r="D42" s="41">
        <v>3</v>
      </c>
      <c r="E42" s="62"/>
      <c r="F42" s="237">
        <f>2.75/3</f>
        <v>0.91666666666666663</v>
      </c>
      <c r="G42" s="42">
        <v>3</v>
      </c>
      <c r="H42" s="69" t="s">
        <v>108</v>
      </c>
      <c r="I42" s="74">
        <v>1</v>
      </c>
      <c r="J42" s="44">
        <v>3</v>
      </c>
      <c r="K42" s="46"/>
      <c r="L42" s="6"/>
      <c r="M42" s="6"/>
    </row>
    <row r="43" spans="1:13" ht="45">
      <c r="A43" s="21" t="s">
        <v>109</v>
      </c>
      <c r="B43" s="31" t="s">
        <v>110</v>
      </c>
      <c r="C43" s="220">
        <f>1.75/2</f>
        <v>0.875</v>
      </c>
      <c r="D43" s="41">
        <v>2</v>
      </c>
      <c r="E43" s="62" t="s">
        <v>111</v>
      </c>
      <c r="F43" s="68">
        <v>1</v>
      </c>
      <c r="G43" s="42">
        <v>2</v>
      </c>
      <c r="H43" s="69"/>
      <c r="I43" s="74">
        <v>1</v>
      </c>
      <c r="J43" s="44">
        <v>2</v>
      </c>
      <c r="K43" s="46"/>
      <c r="L43" s="6"/>
    </row>
    <row r="44" spans="1:13" ht="75">
      <c r="A44" s="21" t="s">
        <v>112</v>
      </c>
      <c r="B44" s="31" t="s">
        <v>113</v>
      </c>
      <c r="C44" s="35">
        <f>1.5/2</f>
        <v>0.75</v>
      </c>
      <c r="D44" s="32">
        <v>2</v>
      </c>
      <c r="E44" s="36" t="s">
        <v>114</v>
      </c>
      <c r="F44" s="245">
        <f>1.75/2</f>
        <v>0.875</v>
      </c>
      <c r="G44" s="33">
        <v>2</v>
      </c>
      <c r="H44" s="38" t="s">
        <v>115</v>
      </c>
      <c r="I44" s="39">
        <v>1</v>
      </c>
      <c r="J44" s="34">
        <v>2</v>
      </c>
      <c r="K44" s="40"/>
      <c r="L44" s="6"/>
      <c r="M44" s="6"/>
    </row>
    <row r="45" spans="1:13" ht="30">
      <c r="A45" s="21" t="s">
        <v>116</v>
      </c>
      <c r="B45" s="31" t="s">
        <v>117</v>
      </c>
      <c r="C45" s="230">
        <f>2/3</f>
        <v>0.66666666666666663</v>
      </c>
      <c r="D45" s="32">
        <v>3</v>
      </c>
      <c r="E45" s="36" t="s">
        <v>118</v>
      </c>
      <c r="F45" s="245">
        <f>3/3</f>
        <v>1</v>
      </c>
      <c r="G45" s="33">
        <v>3</v>
      </c>
      <c r="H45" s="38" t="s">
        <v>119</v>
      </c>
      <c r="I45" s="39">
        <v>1</v>
      </c>
      <c r="J45" s="34">
        <v>3</v>
      </c>
      <c r="K45" s="40"/>
      <c r="L45" s="6"/>
      <c r="M45" s="6"/>
    </row>
    <row r="46" spans="1:13" ht="135">
      <c r="A46" s="21" t="s">
        <v>120</v>
      </c>
      <c r="B46" s="31" t="s">
        <v>121</v>
      </c>
      <c r="C46" s="220">
        <f>1.75/3</f>
        <v>0.58333333333333337</v>
      </c>
      <c r="D46" s="41">
        <v>3</v>
      </c>
      <c r="E46" s="62" t="s">
        <v>122</v>
      </c>
      <c r="F46" s="68">
        <v>1</v>
      </c>
      <c r="G46" s="42">
        <v>3</v>
      </c>
      <c r="H46" s="69"/>
      <c r="I46" s="74">
        <v>1</v>
      </c>
      <c r="J46" s="44">
        <v>3</v>
      </c>
      <c r="K46" s="46"/>
      <c r="L46" s="6"/>
      <c r="M46" s="6"/>
    </row>
    <row r="47" spans="1:13" ht="90">
      <c r="A47" s="21" t="s">
        <v>123</v>
      </c>
      <c r="B47" s="31" t="s">
        <v>124</v>
      </c>
      <c r="C47" s="45">
        <v>1</v>
      </c>
      <c r="D47" s="41">
        <v>6</v>
      </c>
      <c r="E47" s="62"/>
      <c r="F47" s="237">
        <f>5/6</f>
        <v>0.83333333333333337</v>
      </c>
      <c r="G47" s="42">
        <v>6</v>
      </c>
      <c r="H47" s="69" t="s">
        <v>125</v>
      </c>
      <c r="I47" s="74">
        <v>1</v>
      </c>
      <c r="J47" s="44">
        <v>6</v>
      </c>
      <c r="K47" s="46"/>
      <c r="L47" s="6"/>
      <c r="M47" s="6"/>
    </row>
    <row r="48" spans="1:13" ht="45">
      <c r="A48" s="21" t="s">
        <v>126</v>
      </c>
      <c r="B48" s="31" t="s">
        <v>127</v>
      </c>
      <c r="C48" s="45">
        <f>2/8</f>
        <v>0.25</v>
      </c>
      <c r="D48" s="41">
        <v>8</v>
      </c>
      <c r="E48" s="62" t="s">
        <v>128</v>
      </c>
      <c r="F48" s="68">
        <v>1</v>
      </c>
      <c r="G48" s="42">
        <v>8</v>
      </c>
      <c r="H48" s="69"/>
      <c r="I48" s="74">
        <v>1</v>
      </c>
      <c r="J48" s="44">
        <v>8</v>
      </c>
      <c r="K48" s="46"/>
      <c r="L48" s="6"/>
      <c r="M48" s="6"/>
    </row>
    <row r="49" spans="1:13" ht="150">
      <c r="A49" s="21" t="s">
        <v>129</v>
      </c>
      <c r="B49" s="31" t="s">
        <v>130</v>
      </c>
      <c r="C49" s="45">
        <v>0.5</v>
      </c>
      <c r="D49" s="41">
        <v>6</v>
      </c>
      <c r="E49" s="62" t="s">
        <v>131</v>
      </c>
      <c r="F49" s="68">
        <f>4.5/6</f>
        <v>0.75</v>
      </c>
      <c r="G49" s="42">
        <v>6</v>
      </c>
      <c r="H49" s="69" t="s">
        <v>132</v>
      </c>
      <c r="I49" s="74">
        <v>1</v>
      </c>
      <c r="J49" s="44">
        <v>6</v>
      </c>
      <c r="K49" s="46"/>
      <c r="L49" s="6"/>
      <c r="M49" s="6"/>
    </row>
    <row r="50" spans="1:13">
      <c r="A50" s="21" t="s">
        <v>133</v>
      </c>
      <c r="B50" s="31" t="s">
        <v>134</v>
      </c>
      <c r="C50" s="45">
        <v>1</v>
      </c>
      <c r="D50" s="41">
        <v>3</v>
      </c>
      <c r="E50" s="62"/>
      <c r="F50" s="68">
        <v>1</v>
      </c>
      <c r="G50" s="42">
        <v>3</v>
      </c>
      <c r="H50" s="69"/>
      <c r="I50" s="74">
        <v>1</v>
      </c>
      <c r="J50" s="44">
        <v>3</v>
      </c>
      <c r="K50" s="46"/>
      <c r="L50" s="6"/>
      <c r="M50" s="6"/>
    </row>
    <row r="51" spans="1:13" s="94" customFormat="1" ht="16.5" thickBot="1">
      <c r="A51" s="285" t="s">
        <v>39</v>
      </c>
      <c r="B51" s="286"/>
      <c r="C51" s="123">
        <f>SUMPRODUCT(C40:C50,D40:D50)</f>
        <v>28.5</v>
      </c>
      <c r="D51" s="96">
        <f>SUM(D40:D50)</f>
        <v>41</v>
      </c>
      <c r="E51" s="97"/>
      <c r="F51" s="120">
        <f>SUMPRODUCT(F40:F50,G40:G50)</f>
        <v>38</v>
      </c>
      <c r="G51" s="88">
        <f>SUM(G40:G50)</f>
        <v>41</v>
      </c>
      <c r="H51" s="89"/>
      <c r="I51" s="90">
        <f>SUMPRODUCT(I40:I50,J40:J50)</f>
        <v>41</v>
      </c>
      <c r="J51" s="91">
        <f>SUM(J40:J50)</f>
        <v>41</v>
      </c>
      <c r="K51" s="92"/>
      <c r="L51" s="93"/>
      <c r="M51" s="93"/>
    </row>
    <row r="52" spans="1:13" ht="18.399999999999999" customHeight="1">
      <c r="A52" s="258" t="s">
        <v>135</v>
      </c>
      <c r="B52" s="259"/>
      <c r="C52" s="293" t="s">
        <v>17</v>
      </c>
      <c r="D52" s="294"/>
      <c r="E52" s="58" t="s">
        <v>18</v>
      </c>
      <c r="F52" s="293" t="s">
        <v>17</v>
      </c>
      <c r="G52" s="294"/>
      <c r="H52" s="58" t="s">
        <v>18</v>
      </c>
      <c r="I52" s="293" t="s">
        <v>17</v>
      </c>
      <c r="J52" s="294"/>
      <c r="K52" s="58"/>
      <c r="L52" s="15"/>
      <c r="M52" s="5"/>
    </row>
    <row r="53" spans="1:13" ht="30">
      <c r="A53" s="75" t="s">
        <v>136</v>
      </c>
      <c r="B53" s="76" t="s">
        <v>137</v>
      </c>
      <c r="C53" s="109">
        <f>2/2</f>
        <v>1</v>
      </c>
      <c r="D53" s="59">
        <v>2</v>
      </c>
      <c r="E53" s="110"/>
      <c r="F53" s="106">
        <f>2/2</f>
        <v>1</v>
      </c>
      <c r="G53" s="107">
        <v>2</v>
      </c>
      <c r="H53" s="108"/>
      <c r="I53" s="111">
        <f>2/2</f>
        <v>1</v>
      </c>
      <c r="J53" s="112">
        <v>2</v>
      </c>
      <c r="K53" s="113"/>
      <c r="L53" s="6"/>
      <c r="M53" s="6"/>
    </row>
    <row r="54" spans="1:13" ht="30">
      <c r="A54" s="21" t="s">
        <v>138</v>
      </c>
      <c r="B54" s="31" t="s">
        <v>139</v>
      </c>
      <c r="C54" s="220">
        <f>(2-3*0.25)/2</f>
        <v>0.625</v>
      </c>
      <c r="D54" s="41">
        <v>2</v>
      </c>
      <c r="E54" s="62">
        <v>5</v>
      </c>
      <c r="F54" s="68">
        <f>2/2</f>
        <v>1</v>
      </c>
      <c r="G54" s="42">
        <v>2</v>
      </c>
      <c r="H54" s="69" t="s">
        <v>140</v>
      </c>
      <c r="I54" s="74">
        <f>2/2</f>
        <v>1</v>
      </c>
      <c r="J54" s="44">
        <v>2</v>
      </c>
      <c r="K54" s="46"/>
      <c r="L54" s="6"/>
      <c r="M54" s="6"/>
    </row>
    <row r="55" spans="1:13">
      <c r="A55" s="54" t="s">
        <v>141</v>
      </c>
      <c r="B55" s="31" t="s">
        <v>142</v>
      </c>
      <c r="C55" s="45">
        <f>1/1</f>
        <v>1</v>
      </c>
      <c r="D55" s="41">
        <v>1</v>
      </c>
      <c r="E55" s="62"/>
      <c r="F55" s="68">
        <f>1/1</f>
        <v>1</v>
      </c>
      <c r="G55" s="42">
        <v>1</v>
      </c>
      <c r="H55" s="69"/>
      <c r="I55" s="74">
        <f>1/1</f>
        <v>1</v>
      </c>
      <c r="J55" s="44">
        <v>1</v>
      </c>
      <c r="K55" s="46"/>
      <c r="L55" s="6"/>
      <c r="M55" s="6"/>
    </row>
    <row r="56" spans="1:13" ht="120">
      <c r="A56" s="54" t="s">
        <v>143</v>
      </c>
      <c r="B56" s="31" t="s">
        <v>144</v>
      </c>
      <c r="C56" s="45">
        <f>1/1</f>
        <v>1</v>
      </c>
      <c r="D56" s="41">
        <v>4</v>
      </c>
      <c r="E56" s="62" t="s">
        <v>145</v>
      </c>
      <c r="F56" s="68">
        <f>4/4</f>
        <v>1</v>
      </c>
      <c r="G56" s="42">
        <v>4</v>
      </c>
      <c r="H56" s="69"/>
      <c r="I56" s="74">
        <f>4/4</f>
        <v>1</v>
      </c>
      <c r="J56" s="44">
        <v>4</v>
      </c>
      <c r="K56" s="46" t="s">
        <v>146</v>
      </c>
      <c r="L56" s="6"/>
      <c r="M56" s="6"/>
    </row>
    <row r="57" spans="1:13" ht="45">
      <c r="A57" s="21" t="s">
        <v>147</v>
      </c>
      <c r="B57" s="31" t="s">
        <v>148</v>
      </c>
      <c r="C57" s="45">
        <f>2/2</f>
        <v>1</v>
      </c>
      <c r="D57" s="41">
        <v>2</v>
      </c>
      <c r="E57" s="62"/>
      <c r="F57" s="68">
        <f>2/2</f>
        <v>1</v>
      </c>
      <c r="G57" s="42">
        <v>2</v>
      </c>
      <c r="H57" s="69"/>
      <c r="I57" s="74">
        <f>2/2</f>
        <v>1</v>
      </c>
      <c r="J57" s="44">
        <v>2</v>
      </c>
      <c r="K57" s="46"/>
      <c r="L57" s="7"/>
      <c r="M57" s="6"/>
    </row>
    <row r="58" spans="1:13" s="94" customFormat="1" ht="16.5" thickBot="1">
      <c r="A58" s="285" t="s">
        <v>39</v>
      </c>
      <c r="B58" s="286"/>
      <c r="C58" s="95">
        <f>SUMPRODUCT(C53:C57,D53:D57)</f>
        <v>10.25</v>
      </c>
      <c r="D58" s="96">
        <f>SUM(D53:D57)</f>
        <v>11</v>
      </c>
      <c r="E58" s="97"/>
      <c r="F58" s="98">
        <f>SUMPRODUCT(F53:F57,G53:G57)</f>
        <v>11</v>
      </c>
      <c r="G58" s="99">
        <f>SUM(G53:G57)</f>
        <v>11</v>
      </c>
      <c r="H58" s="100"/>
      <c r="I58" s="90">
        <f>SUMPRODUCT(I53:I57,J53:J57)</f>
        <v>11</v>
      </c>
      <c r="J58" s="91">
        <f>SUM(J53:J57)</f>
        <v>11</v>
      </c>
      <c r="K58" s="92"/>
      <c r="L58" s="93"/>
      <c r="M58" s="93"/>
    </row>
    <row r="59" spans="1:13" ht="18.399999999999999" customHeight="1" thickBot="1">
      <c r="A59" s="251" t="s">
        <v>2</v>
      </c>
      <c r="B59" s="252"/>
      <c r="C59" s="252"/>
      <c r="D59" s="252"/>
      <c r="E59" s="252"/>
      <c r="F59" s="252"/>
      <c r="G59" s="252"/>
      <c r="H59" s="252"/>
      <c r="I59" s="252"/>
      <c r="J59" s="252"/>
      <c r="K59" s="253"/>
      <c r="L59" s="5"/>
      <c r="M59" s="5"/>
    </row>
    <row r="60" spans="1:13">
      <c r="A60" s="254" t="s">
        <v>149</v>
      </c>
      <c r="B60" s="255"/>
      <c r="C60" s="124">
        <f t="shared" ref="C60:J60" si="0">C14+C21+C26+C32+C38+C51+C58</f>
        <v>78.25</v>
      </c>
      <c r="D60" s="60">
        <f t="shared" si="0"/>
        <v>100</v>
      </c>
      <c r="E60" s="61"/>
      <c r="F60" s="125">
        <f t="shared" si="0"/>
        <v>94.4</v>
      </c>
      <c r="G60" s="66">
        <f t="shared" si="0"/>
        <v>100</v>
      </c>
      <c r="H60" s="67"/>
      <c r="I60" s="126">
        <f t="shared" si="0"/>
        <v>97.7</v>
      </c>
      <c r="J60" s="121">
        <f t="shared" si="0"/>
        <v>100</v>
      </c>
      <c r="K60" s="122"/>
      <c r="L60" s="7"/>
      <c r="M60" s="6"/>
    </row>
    <row r="61" spans="1:13" s="94" customFormat="1" ht="16.5" thickBot="1">
      <c r="A61" s="256" t="s">
        <v>150</v>
      </c>
      <c r="B61" s="257"/>
      <c r="C61" s="260">
        <f>C60/D60</f>
        <v>0.78249999999999997</v>
      </c>
      <c r="D61" s="261"/>
      <c r="E61" s="262"/>
      <c r="F61" s="263">
        <f>F60/G60</f>
        <v>0.94400000000000006</v>
      </c>
      <c r="G61" s="264"/>
      <c r="H61" s="265"/>
      <c r="I61" s="266">
        <f>I60/J60</f>
        <v>0.97699999999999998</v>
      </c>
      <c r="J61" s="267"/>
      <c r="K61" s="268"/>
      <c r="L61" s="127"/>
      <c r="M61" s="127"/>
    </row>
  </sheetData>
  <mergeCells count="48">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 ref="C8:D8"/>
    <mergeCell ref="F8:G8"/>
    <mergeCell ref="I8:J8"/>
    <mergeCell ref="C15:D15"/>
    <mergeCell ref="F15:G15"/>
    <mergeCell ref="I15:J15"/>
    <mergeCell ref="A38:B38"/>
    <mergeCell ref="A51:B51"/>
    <mergeCell ref="A58:B58"/>
    <mergeCell ref="A39:B39"/>
    <mergeCell ref="A33:B33"/>
    <mergeCell ref="A14:B14"/>
    <mergeCell ref="A26:B26"/>
    <mergeCell ref="A32:B32"/>
    <mergeCell ref="A8:B8"/>
    <mergeCell ref="A22:B22"/>
    <mergeCell ref="A27:B27"/>
    <mergeCell ref="A15:B15"/>
    <mergeCell ref="A21:B21"/>
    <mergeCell ref="N6:P6"/>
    <mergeCell ref="A6:A7"/>
    <mergeCell ref="C6:E6"/>
    <mergeCell ref="F6:H6"/>
    <mergeCell ref="A2:K2"/>
    <mergeCell ref="A4:K4"/>
    <mergeCell ref="I6:K6"/>
    <mergeCell ref="B6:B7"/>
    <mergeCell ref="A59:K59"/>
    <mergeCell ref="A60:B60"/>
    <mergeCell ref="A61:B61"/>
    <mergeCell ref="A52:B52"/>
    <mergeCell ref="C61:E61"/>
    <mergeCell ref="F61:H61"/>
    <mergeCell ref="I61:K61"/>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I56"/>
  <sheetViews>
    <sheetView topLeftCell="A47" workbookViewId="0">
      <selection activeCell="E55" sqref="E55"/>
    </sheetView>
  </sheetViews>
  <sheetFormatPr defaultColWidth="9.140625" defaultRowHeight="15"/>
  <cols>
    <col min="1" max="1" width="50.5703125" style="129" customWidth="1"/>
    <col min="2" max="2" width="12.5703125" style="129" bestFit="1" customWidth="1"/>
    <col min="3" max="4" width="9.140625" style="129"/>
    <col min="5" max="5" width="11" style="129" bestFit="1" customWidth="1"/>
    <col min="6" max="6" width="11" style="129" customWidth="1"/>
    <col min="7" max="7" width="94.5703125" style="129" customWidth="1"/>
    <col min="8" max="16384" width="9.140625" style="129"/>
  </cols>
  <sheetData>
    <row r="2" spans="1:9" ht="18.75">
      <c r="A2" s="295" t="s">
        <v>10</v>
      </c>
      <c r="B2" s="295"/>
      <c r="C2" s="295"/>
      <c r="D2" s="295"/>
      <c r="E2" s="295"/>
      <c r="F2" s="295"/>
      <c r="G2" s="295"/>
    </row>
    <row r="3" spans="1:9">
      <c r="A3" s="130"/>
      <c r="B3" s="130"/>
      <c r="C3" s="131"/>
      <c r="D3" s="131"/>
      <c r="E3" s="130"/>
      <c r="F3" s="130"/>
      <c r="G3" s="131"/>
    </row>
    <row r="4" spans="1:9" ht="18.75">
      <c r="A4" s="128" t="s">
        <v>151</v>
      </c>
      <c r="B4" s="128"/>
      <c r="C4" s="128"/>
      <c r="D4" s="128"/>
      <c r="E4" s="128"/>
      <c r="F4" s="128"/>
      <c r="G4" s="128"/>
    </row>
    <row r="5" spans="1:9" ht="15.75" thickBot="1"/>
    <row r="6" spans="1:9" ht="24" thickBot="1">
      <c r="A6" s="303" t="s">
        <v>6</v>
      </c>
      <c r="B6" s="304"/>
      <c r="C6" s="304"/>
      <c r="D6" s="304"/>
      <c r="E6" s="304"/>
      <c r="F6" s="304"/>
      <c r="G6" s="305"/>
    </row>
    <row r="7" spans="1:9">
      <c r="A7" s="151" t="s">
        <v>152</v>
      </c>
      <c r="B7" s="306"/>
      <c r="C7" s="306"/>
      <c r="D7" s="306"/>
      <c r="E7" s="306"/>
      <c r="F7" s="306"/>
      <c r="G7" s="307"/>
    </row>
    <row r="8" spans="1:9">
      <c r="A8" s="198" t="s">
        <v>153</v>
      </c>
      <c r="B8" s="177" t="s">
        <v>14</v>
      </c>
      <c r="C8" s="177" t="s">
        <v>154</v>
      </c>
      <c r="D8" s="177" t="s">
        <v>4</v>
      </c>
      <c r="E8" s="177" t="s">
        <v>155</v>
      </c>
      <c r="F8" s="177" t="s">
        <v>17</v>
      </c>
      <c r="G8" s="178" t="s">
        <v>15</v>
      </c>
    </row>
    <row r="9" spans="1:9" ht="30">
      <c r="A9" s="139" t="s">
        <v>156</v>
      </c>
      <c r="B9" s="132">
        <f>1/1</f>
        <v>1</v>
      </c>
      <c r="C9" s="132">
        <v>0.75</v>
      </c>
      <c r="D9" s="132">
        <v>5</v>
      </c>
      <c r="E9" s="132">
        <f t="shared" ref="E9:E19" si="0">B9*C9*D9</f>
        <v>3.75</v>
      </c>
      <c r="F9" s="212" t="s">
        <v>18</v>
      </c>
      <c r="G9" s="216" t="s">
        <v>157</v>
      </c>
    </row>
    <row r="10" spans="1:9" ht="112.5" customHeight="1">
      <c r="A10" s="179" t="s">
        <v>158</v>
      </c>
      <c r="B10" s="180">
        <f>(5-0.75)/5</f>
        <v>0.85</v>
      </c>
      <c r="C10" s="227">
        <v>1</v>
      </c>
      <c r="D10" s="180">
        <v>5</v>
      </c>
      <c r="E10" s="180">
        <f t="shared" si="0"/>
        <v>4.25</v>
      </c>
      <c r="F10" s="217" t="s">
        <v>41</v>
      </c>
      <c r="G10" s="234" t="s">
        <v>159</v>
      </c>
    </row>
    <row r="11" spans="1:9" ht="300">
      <c r="A11" s="139" t="s">
        <v>160</v>
      </c>
      <c r="B11" s="221">
        <f>(18-2.5)/18</f>
        <v>0.86111111111111116</v>
      </c>
      <c r="C11" s="132">
        <v>0.75</v>
      </c>
      <c r="D11" s="132">
        <v>18</v>
      </c>
      <c r="E11" s="132">
        <f t="shared" si="0"/>
        <v>11.625</v>
      </c>
      <c r="F11" s="219" t="s">
        <v>18</v>
      </c>
      <c r="G11" s="216" t="s">
        <v>161</v>
      </c>
      <c r="H11" s="130"/>
    </row>
    <row r="12" spans="1:9" ht="103.5" customHeight="1">
      <c r="A12" s="179" t="s">
        <v>162</v>
      </c>
      <c r="B12" s="225">
        <f>14.5/16</f>
        <v>0.90625</v>
      </c>
      <c r="C12" s="227">
        <v>0.75</v>
      </c>
      <c r="D12" s="180">
        <v>16</v>
      </c>
      <c r="E12" s="180">
        <f t="shared" si="0"/>
        <v>10.875</v>
      </c>
      <c r="F12" s="218" t="s">
        <v>41</v>
      </c>
      <c r="G12" s="214" t="s">
        <v>163</v>
      </c>
    </row>
    <row r="13" spans="1:9" ht="75">
      <c r="A13" s="139" t="s">
        <v>164</v>
      </c>
      <c r="B13" s="132">
        <f>(10-1)/10</f>
        <v>0.9</v>
      </c>
      <c r="C13" s="132">
        <v>0.75</v>
      </c>
      <c r="D13" s="132">
        <v>10</v>
      </c>
      <c r="E13" s="132">
        <f t="shared" si="0"/>
        <v>6.75</v>
      </c>
      <c r="F13" s="219" t="s">
        <v>18</v>
      </c>
      <c r="G13" s="216" t="s">
        <v>165</v>
      </c>
    </row>
    <row r="14" spans="1:9" ht="90">
      <c r="A14" s="222" t="s">
        <v>166</v>
      </c>
      <c r="B14" s="226">
        <f>6.5/8</f>
        <v>0.8125</v>
      </c>
      <c r="C14" s="132">
        <v>1</v>
      </c>
      <c r="D14" s="132">
        <v>8</v>
      </c>
      <c r="E14" s="132">
        <f t="shared" si="0"/>
        <v>6.5</v>
      </c>
      <c r="F14" s="224" t="s">
        <v>41</v>
      </c>
      <c r="G14" s="223" t="s">
        <v>167</v>
      </c>
    </row>
    <row r="15" spans="1:9" ht="270">
      <c r="A15" s="179" t="s">
        <v>168</v>
      </c>
      <c r="B15" s="180">
        <f>(12-3)/12</f>
        <v>0.75</v>
      </c>
      <c r="C15" s="180">
        <v>0.75</v>
      </c>
      <c r="D15" s="180">
        <v>12</v>
      </c>
      <c r="E15" s="180">
        <f t="shared" si="0"/>
        <v>6.75</v>
      </c>
      <c r="F15" s="218" t="s">
        <v>18</v>
      </c>
      <c r="G15" s="214" t="s">
        <v>169</v>
      </c>
      <c r="H15" s="232"/>
      <c r="I15" s="233"/>
    </row>
    <row r="16" spans="1:9" ht="120">
      <c r="A16" s="139" t="s">
        <v>170</v>
      </c>
      <c r="B16" s="132">
        <f>8.5/10</f>
        <v>0.85</v>
      </c>
      <c r="C16" s="132">
        <v>1</v>
      </c>
      <c r="D16" s="132">
        <v>10</v>
      </c>
      <c r="E16" s="132">
        <f t="shared" si="0"/>
        <v>8.5</v>
      </c>
      <c r="F16" s="219" t="s">
        <v>41</v>
      </c>
      <c r="G16" s="216" t="s">
        <v>171</v>
      </c>
    </row>
    <row r="17" spans="1:7">
      <c r="A17" s="179" t="s">
        <v>172</v>
      </c>
      <c r="B17" s="180">
        <f>1/1</f>
        <v>1</v>
      </c>
      <c r="C17" s="180">
        <f>1/1</f>
        <v>1</v>
      </c>
      <c r="D17" s="180">
        <v>4</v>
      </c>
      <c r="E17" s="180">
        <f t="shared" si="0"/>
        <v>4</v>
      </c>
      <c r="F17" s="213" t="s">
        <v>18</v>
      </c>
      <c r="G17" s="181"/>
    </row>
    <row r="18" spans="1:7" ht="105">
      <c r="A18" s="139" t="s">
        <v>173</v>
      </c>
      <c r="B18" s="221">
        <f>5/6</f>
        <v>0.83333333333333337</v>
      </c>
      <c r="C18" s="228">
        <v>0.75</v>
      </c>
      <c r="D18" s="132">
        <v>6</v>
      </c>
      <c r="E18" s="132">
        <f t="shared" si="0"/>
        <v>3.75</v>
      </c>
      <c r="F18" s="212" t="s">
        <v>41</v>
      </c>
      <c r="G18" s="216" t="s">
        <v>174</v>
      </c>
    </row>
    <row r="19" spans="1:7" ht="30">
      <c r="A19" s="179" t="s">
        <v>175</v>
      </c>
      <c r="B19" s="225">
        <f>4/6</f>
        <v>0.66666666666666663</v>
      </c>
      <c r="C19" s="180">
        <v>1</v>
      </c>
      <c r="D19" s="180">
        <v>6</v>
      </c>
      <c r="E19" s="180">
        <f t="shared" si="0"/>
        <v>4</v>
      </c>
      <c r="F19" s="213" t="s">
        <v>18</v>
      </c>
      <c r="G19" s="214" t="s">
        <v>176</v>
      </c>
    </row>
    <row r="20" spans="1:7">
      <c r="A20" s="159" t="s">
        <v>177</v>
      </c>
      <c r="B20" s="308"/>
      <c r="C20" s="308"/>
      <c r="D20" s="211">
        <f>SUM(D9:D19)</f>
        <v>100</v>
      </c>
      <c r="E20" s="160">
        <f>SUM(E9:E19)/D20 + E22*D22 + E21*D21</f>
        <v>0.70750000000000002</v>
      </c>
      <c r="F20" s="162"/>
      <c r="G20" s="161"/>
    </row>
    <row r="21" spans="1:7">
      <c r="A21" s="179" t="s">
        <v>178</v>
      </c>
      <c r="B21" s="182"/>
      <c r="C21" s="182"/>
      <c r="D21" s="183">
        <v>-0.15</v>
      </c>
      <c r="E21" s="182"/>
      <c r="F21" s="182"/>
      <c r="G21" s="184"/>
    </row>
    <row r="22" spans="1:7" ht="15.75" thickBot="1">
      <c r="A22" s="140" t="s">
        <v>179</v>
      </c>
      <c r="B22" s="141"/>
      <c r="C22" s="141"/>
      <c r="D22" s="142">
        <v>-0.2</v>
      </c>
      <c r="E22" s="141"/>
      <c r="F22" s="141"/>
      <c r="G22" s="143"/>
    </row>
    <row r="23" spans="1:7" ht="24" thickBot="1">
      <c r="A23" s="309" t="s">
        <v>7</v>
      </c>
      <c r="B23" s="310"/>
      <c r="C23" s="310"/>
      <c r="D23" s="310"/>
      <c r="E23" s="310"/>
      <c r="F23" s="310"/>
      <c r="G23" s="311"/>
    </row>
    <row r="24" spans="1:7" ht="15.75" customHeight="1">
      <c r="A24" s="150" t="s">
        <v>152</v>
      </c>
      <c r="B24" s="296"/>
      <c r="C24" s="296"/>
      <c r="D24" s="296"/>
      <c r="E24" s="296"/>
      <c r="F24" s="296"/>
      <c r="G24" s="297"/>
    </row>
    <row r="25" spans="1:7">
      <c r="A25" s="197" t="s">
        <v>153</v>
      </c>
      <c r="B25" s="185" t="s">
        <v>14</v>
      </c>
      <c r="C25" s="185" t="s">
        <v>154</v>
      </c>
      <c r="D25" s="185" t="s">
        <v>4</v>
      </c>
      <c r="E25" s="185" t="s">
        <v>155</v>
      </c>
      <c r="F25" s="185" t="s">
        <v>17</v>
      </c>
      <c r="G25" s="186" t="s">
        <v>15</v>
      </c>
    </row>
    <row r="26" spans="1:7" ht="90">
      <c r="A26" s="144" t="s">
        <v>180</v>
      </c>
      <c r="B26" s="133">
        <v>1</v>
      </c>
      <c r="C26" s="133">
        <v>0.75</v>
      </c>
      <c r="D26" s="133">
        <v>24</v>
      </c>
      <c r="E26" s="133">
        <f>B26*C26*D26</f>
        <v>18</v>
      </c>
      <c r="F26" s="133" t="s">
        <v>41</v>
      </c>
      <c r="G26" s="238" t="s">
        <v>181</v>
      </c>
    </row>
    <row r="27" spans="1:7">
      <c r="A27" s="187" t="s">
        <v>182</v>
      </c>
      <c r="B27" s="188">
        <v>1</v>
      </c>
      <c r="C27" s="188">
        <v>1</v>
      </c>
      <c r="D27" s="188">
        <v>8</v>
      </c>
      <c r="E27" s="188">
        <f t="shared" ref="E27:E35" si="1">B27*C27*D27</f>
        <v>8</v>
      </c>
      <c r="F27" s="188" t="s">
        <v>41</v>
      </c>
      <c r="G27" s="189"/>
    </row>
    <row r="28" spans="1:7">
      <c r="A28" s="144" t="s">
        <v>183</v>
      </c>
      <c r="B28" s="133">
        <f>(10-1)/10</f>
        <v>0.9</v>
      </c>
      <c r="C28" s="133">
        <v>1</v>
      </c>
      <c r="D28" s="133">
        <v>10</v>
      </c>
      <c r="E28" s="133">
        <f t="shared" si="1"/>
        <v>9</v>
      </c>
      <c r="F28" s="133" t="s">
        <v>41</v>
      </c>
      <c r="G28" s="235" t="s">
        <v>184</v>
      </c>
    </row>
    <row r="29" spans="1:7">
      <c r="A29" s="187" t="s">
        <v>185</v>
      </c>
      <c r="B29" s="188">
        <v>1</v>
      </c>
      <c r="C29" s="188">
        <v>1</v>
      </c>
      <c r="D29" s="188">
        <v>8</v>
      </c>
      <c r="E29" s="188">
        <f t="shared" si="1"/>
        <v>8</v>
      </c>
      <c r="F29" s="188" t="s">
        <v>41</v>
      </c>
      <c r="G29" s="236"/>
    </row>
    <row r="30" spans="1:7" ht="210">
      <c r="A30" s="144" t="s">
        <v>186</v>
      </c>
      <c r="B30" s="133">
        <f>10/10</f>
        <v>1</v>
      </c>
      <c r="C30" s="133">
        <v>0.5</v>
      </c>
      <c r="D30" s="133">
        <v>10</v>
      </c>
      <c r="E30" s="133">
        <f t="shared" si="1"/>
        <v>5</v>
      </c>
      <c r="F30" s="133" t="s">
        <v>18</v>
      </c>
      <c r="G30" s="238" t="s">
        <v>187</v>
      </c>
    </row>
    <row r="31" spans="1:7" ht="315">
      <c r="A31" s="187" t="s">
        <v>188</v>
      </c>
      <c r="B31" s="242">
        <f>(12-2.5)/12</f>
        <v>0.79166666666666663</v>
      </c>
      <c r="C31" s="188">
        <v>1</v>
      </c>
      <c r="D31" s="188">
        <v>12</v>
      </c>
      <c r="E31" s="188">
        <f t="shared" si="1"/>
        <v>9.5</v>
      </c>
      <c r="F31" s="188" t="s">
        <v>18</v>
      </c>
      <c r="G31" s="241" t="s">
        <v>189</v>
      </c>
    </row>
    <row r="32" spans="1:7" ht="150">
      <c r="A32" s="144" t="s">
        <v>190</v>
      </c>
      <c r="B32" s="133">
        <v>1</v>
      </c>
      <c r="C32" s="133">
        <v>1</v>
      </c>
      <c r="D32" s="133">
        <v>10</v>
      </c>
      <c r="E32" s="133">
        <f t="shared" si="1"/>
        <v>10</v>
      </c>
      <c r="F32" s="133" t="s">
        <v>18</v>
      </c>
      <c r="G32" s="238" t="s">
        <v>191</v>
      </c>
    </row>
    <row r="33" spans="1:7" ht="180">
      <c r="A33" s="187" t="s">
        <v>192</v>
      </c>
      <c r="B33" s="188">
        <v>1</v>
      </c>
      <c r="C33" s="188">
        <v>0.75</v>
      </c>
      <c r="D33" s="188">
        <v>4</v>
      </c>
      <c r="E33" s="188">
        <f t="shared" si="1"/>
        <v>3</v>
      </c>
      <c r="F33" s="188" t="s">
        <v>18</v>
      </c>
      <c r="G33" s="241" t="s">
        <v>193</v>
      </c>
    </row>
    <row r="34" spans="1:7" ht="150">
      <c r="A34" s="144" t="s">
        <v>194</v>
      </c>
      <c r="B34" s="133">
        <f>(10-1)/10</f>
        <v>0.9</v>
      </c>
      <c r="C34" s="133">
        <v>1</v>
      </c>
      <c r="D34" s="133">
        <v>10</v>
      </c>
      <c r="E34" s="133">
        <f t="shared" si="1"/>
        <v>9</v>
      </c>
      <c r="F34" s="133" t="s">
        <v>18</v>
      </c>
      <c r="G34" s="243" t="s">
        <v>195</v>
      </c>
    </row>
    <row r="35" spans="1:7" ht="135">
      <c r="A35" s="239" t="s">
        <v>196</v>
      </c>
      <c r="B35" s="240">
        <v>1</v>
      </c>
      <c r="C35" s="240">
        <v>1</v>
      </c>
      <c r="D35" s="240">
        <v>4</v>
      </c>
      <c r="E35" s="240">
        <f t="shared" si="1"/>
        <v>4</v>
      </c>
      <c r="F35" s="240" t="s">
        <v>18</v>
      </c>
      <c r="G35" s="244" t="s">
        <v>197</v>
      </c>
    </row>
    <row r="36" spans="1:7" ht="52.5" customHeight="1">
      <c r="A36" s="156" t="s">
        <v>177</v>
      </c>
      <c r="B36" s="157"/>
      <c r="C36" s="157"/>
      <c r="D36" s="157">
        <f>SUM(D26:D35)</f>
        <v>100</v>
      </c>
      <c r="E36" s="158">
        <f>SUM(E26:E35)/D36 + E37*D37 + E38*D38 + E39*D39</f>
        <v>0.83499999999999996</v>
      </c>
      <c r="F36" s="158"/>
      <c r="G36" s="312" t="s">
        <v>198</v>
      </c>
    </row>
    <row r="37" spans="1:7">
      <c r="A37" s="187" t="s">
        <v>178</v>
      </c>
      <c r="B37" s="190"/>
      <c r="C37" s="190"/>
      <c r="D37" s="191">
        <v>-0.15</v>
      </c>
      <c r="E37" s="190"/>
      <c r="F37" s="190"/>
      <c r="G37" s="192"/>
    </row>
    <row r="38" spans="1:7">
      <c r="A38" s="144" t="s">
        <v>199</v>
      </c>
      <c r="B38" s="134"/>
      <c r="C38" s="134"/>
      <c r="D38" s="135">
        <v>-0.2</v>
      </c>
      <c r="E38" s="134"/>
      <c r="F38" s="134"/>
      <c r="G38" s="145"/>
    </row>
    <row r="39" spans="1:7" ht="15.75" thickBot="1">
      <c r="A39" s="193" t="s">
        <v>200</v>
      </c>
      <c r="B39" s="194"/>
      <c r="C39" s="194"/>
      <c r="D39" s="195">
        <v>-0.05</v>
      </c>
      <c r="E39" s="194"/>
      <c r="F39" s="194"/>
      <c r="G39" s="196"/>
    </row>
    <row r="40" spans="1:7" ht="24" thickBot="1">
      <c r="A40" s="298" t="s">
        <v>8</v>
      </c>
      <c r="B40" s="299"/>
      <c r="C40" s="299"/>
      <c r="D40" s="299"/>
      <c r="E40" s="299"/>
      <c r="F40" s="299"/>
      <c r="G40" s="300"/>
    </row>
    <row r="41" spans="1:7">
      <c r="A41" s="149" t="s">
        <v>152</v>
      </c>
      <c r="B41" s="301"/>
      <c r="C41" s="301"/>
      <c r="D41" s="301"/>
      <c r="E41" s="301"/>
      <c r="F41" s="301"/>
      <c r="G41" s="302"/>
    </row>
    <row r="42" spans="1:7">
      <c r="A42" s="166" t="s">
        <v>153</v>
      </c>
      <c r="B42" s="167" t="s">
        <v>14</v>
      </c>
      <c r="C42" s="167" t="s">
        <v>154</v>
      </c>
      <c r="D42" s="167" t="s">
        <v>4</v>
      </c>
      <c r="E42" s="167" t="s">
        <v>155</v>
      </c>
      <c r="F42" s="168" t="s">
        <v>17</v>
      </c>
      <c r="G42" s="169" t="s">
        <v>15</v>
      </c>
    </row>
    <row r="43" spans="1:7">
      <c r="A43" s="146" t="s">
        <v>201</v>
      </c>
      <c r="B43" s="136">
        <v>1</v>
      </c>
      <c r="C43" s="136">
        <v>1</v>
      </c>
      <c r="D43" s="136">
        <v>14</v>
      </c>
      <c r="E43" s="136">
        <f t="shared" ref="E43:E52" si="2">B43*C43*D43</f>
        <v>14</v>
      </c>
      <c r="F43" s="136" t="s">
        <v>41</v>
      </c>
      <c r="G43" s="147"/>
    </row>
    <row r="44" spans="1:7" ht="60">
      <c r="A44" s="163" t="s">
        <v>202</v>
      </c>
      <c r="B44" s="164">
        <v>1</v>
      </c>
      <c r="C44" s="164">
        <v>0.75</v>
      </c>
      <c r="D44" s="164">
        <v>10</v>
      </c>
      <c r="E44" s="164">
        <f t="shared" si="2"/>
        <v>7.5</v>
      </c>
      <c r="F44" s="164" t="s">
        <v>41</v>
      </c>
      <c r="G44" s="248" t="s">
        <v>203</v>
      </c>
    </row>
    <row r="45" spans="1:7" ht="240">
      <c r="A45" s="146" t="s">
        <v>204</v>
      </c>
      <c r="B45" s="136">
        <f>12/12</f>
        <v>1</v>
      </c>
      <c r="C45" s="136">
        <v>1</v>
      </c>
      <c r="D45" s="136">
        <v>12</v>
      </c>
      <c r="E45" s="136">
        <f t="shared" si="2"/>
        <v>12</v>
      </c>
      <c r="F45" s="136" t="s">
        <v>18</v>
      </c>
      <c r="G45" s="249" t="s">
        <v>205</v>
      </c>
    </row>
    <row r="46" spans="1:7" ht="210">
      <c r="A46" s="163" t="s">
        <v>206</v>
      </c>
      <c r="B46" s="164">
        <v>1</v>
      </c>
      <c r="C46" s="164">
        <v>1</v>
      </c>
      <c r="D46" s="164">
        <v>18</v>
      </c>
      <c r="E46" s="164">
        <f t="shared" si="2"/>
        <v>18</v>
      </c>
      <c r="F46" s="164" t="s">
        <v>18</v>
      </c>
      <c r="G46" s="248" t="s">
        <v>207</v>
      </c>
    </row>
    <row r="47" spans="1:7" ht="180">
      <c r="A47" s="146" t="s">
        <v>208</v>
      </c>
      <c r="B47" s="136">
        <v>1</v>
      </c>
      <c r="C47" s="136">
        <v>1</v>
      </c>
      <c r="D47" s="136">
        <v>16</v>
      </c>
      <c r="E47" s="136">
        <f t="shared" si="2"/>
        <v>16</v>
      </c>
      <c r="F47" s="136" t="s">
        <v>18</v>
      </c>
      <c r="G47" s="249" t="s">
        <v>209</v>
      </c>
    </row>
    <row r="48" spans="1:7">
      <c r="A48" s="163" t="s">
        <v>210</v>
      </c>
      <c r="B48" s="164">
        <v>1</v>
      </c>
      <c r="C48" s="164">
        <v>1</v>
      </c>
      <c r="D48" s="164">
        <v>6</v>
      </c>
      <c r="E48" s="164">
        <f t="shared" si="2"/>
        <v>6</v>
      </c>
      <c r="F48" s="164" t="s">
        <v>41</v>
      </c>
      <c r="G48" s="165"/>
    </row>
    <row r="49" spans="1:7" ht="30">
      <c r="A49" s="146" t="s">
        <v>211</v>
      </c>
      <c r="B49" s="136">
        <v>1</v>
      </c>
      <c r="C49" s="136">
        <v>0.75</v>
      </c>
      <c r="D49" s="136">
        <v>6</v>
      </c>
      <c r="E49" s="136">
        <f t="shared" si="2"/>
        <v>4.5</v>
      </c>
      <c r="F49" s="136" t="s">
        <v>41</v>
      </c>
      <c r="G49" s="249" t="s">
        <v>212</v>
      </c>
    </row>
    <row r="50" spans="1:7">
      <c r="A50" s="163" t="s">
        <v>213</v>
      </c>
      <c r="B50" s="164">
        <v>1</v>
      </c>
      <c r="C50" s="164">
        <v>1</v>
      </c>
      <c r="D50" s="164">
        <v>6</v>
      </c>
      <c r="E50" s="164">
        <f t="shared" si="2"/>
        <v>6</v>
      </c>
      <c r="F50" s="164" t="s">
        <v>41</v>
      </c>
      <c r="G50" s="165"/>
    </row>
    <row r="51" spans="1:7">
      <c r="A51" s="146" t="s">
        <v>214</v>
      </c>
      <c r="B51" s="250">
        <f>7.5/8</f>
        <v>0.9375</v>
      </c>
      <c r="C51" s="136">
        <v>1</v>
      </c>
      <c r="D51" s="136">
        <v>8</v>
      </c>
      <c r="E51" s="136">
        <f t="shared" si="2"/>
        <v>7.5</v>
      </c>
      <c r="F51" s="136" t="s">
        <v>41</v>
      </c>
      <c r="G51" s="147" t="s">
        <v>215</v>
      </c>
    </row>
    <row r="52" spans="1:7" ht="90">
      <c r="A52" s="163" t="s">
        <v>216</v>
      </c>
      <c r="B52" s="164">
        <v>1</v>
      </c>
      <c r="C52" s="164">
        <v>1</v>
      </c>
      <c r="D52" s="164">
        <v>4</v>
      </c>
      <c r="E52" s="164">
        <f t="shared" si="2"/>
        <v>4</v>
      </c>
      <c r="F52" s="164" t="s">
        <v>18</v>
      </c>
      <c r="G52" s="248" t="s">
        <v>217</v>
      </c>
    </row>
    <row r="53" spans="1:7">
      <c r="A53" s="152" t="s">
        <v>177</v>
      </c>
      <c r="B53" s="153"/>
      <c r="C53" s="153"/>
      <c r="D53" s="153">
        <f>SUM(D43:D52)</f>
        <v>100</v>
      </c>
      <c r="E53" s="154">
        <f>SUM(E43:E52)/D53 + D54*E54  + D55*E55 + D56*E56</f>
        <v>0.91749999999999998</v>
      </c>
      <c r="F53" s="154"/>
      <c r="G53" s="155"/>
    </row>
    <row r="54" spans="1:7">
      <c r="A54" s="163" t="s">
        <v>178</v>
      </c>
      <c r="B54" s="170"/>
      <c r="C54" s="170"/>
      <c r="D54" s="171">
        <v>-0.15</v>
      </c>
      <c r="E54" s="170">
        <v>0.25</v>
      </c>
      <c r="F54" s="170"/>
      <c r="G54" s="172" t="s">
        <v>218</v>
      </c>
    </row>
    <row r="55" spans="1:7">
      <c r="A55" s="146" t="s">
        <v>199</v>
      </c>
      <c r="B55" s="137"/>
      <c r="C55" s="137"/>
      <c r="D55" s="138">
        <v>-0.2</v>
      </c>
      <c r="E55" s="137"/>
      <c r="F55" s="137"/>
      <c r="G55" s="148"/>
    </row>
    <row r="56" spans="1:7" ht="15.75" thickBot="1">
      <c r="A56" s="173" t="s">
        <v>200</v>
      </c>
      <c r="B56" s="174"/>
      <c r="C56" s="174"/>
      <c r="D56" s="175">
        <v>-0.05</v>
      </c>
      <c r="E56" s="174"/>
      <c r="F56" s="174"/>
      <c r="G56" s="176"/>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13 B15: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2021-12-24T23:11:49Z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