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20" firstSheet="9" activeTab="10"/>
  </bookViews>
  <sheets>
    <sheet name="Arbeid" sheetId="1" r:id="rId1"/>
    <sheet name="Kosten" sheetId="9" r:id="rId2"/>
    <sheet name="Software" sheetId="8" r:id="rId3"/>
    <sheet name="Omzet" sheetId="6" r:id="rId4"/>
    <sheet name="Schatting gebruikers" sheetId="7" r:id="rId5"/>
    <sheet name="interieur" sheetId="5" r:id="rId6"/>
    <sheet name="Hardware" sheetId="3" r:id="rId7"/>
    <sheet name="afschrijvingen" sheetId="4" r:id="rId8"/>
    <sheet name="Uitgaven en opbrengsten" sheetId="10" r:id="rId9"/>
    <sheet name="Schatting ProjectKosten" sheetId="11" r:id="rId10"/>
    <sheet name="Break even analyse op schatting" sheetId="12" r:id="rId11"/>
    <sheet name="Effectieve projectkosten" sheetId="13" r:id="rId12"/>
    <sheet name="Break even analyse" sheetId="14" r:id="rId13"/>
  </sheets>
  <definedNames>
    <definedName name="_xlnm._FilterDatabase" localSheetId="3" hidden="1">Omzet!$A$2:$D$6</definedName>
  </definedNames>
  <calcPr calcId="152511"/>
</workbook>
</file>

<file path=xl/calcChain.xml><?xml version="1.0" encoding="utf-8"?>
<calcChain xmlns="http://schemas.openxmlformats.org/spreadsheetml/2006/main">
  <c r="B4" i="14" l="1"/>
  <c r="C24" i="14" s="1"/>
  <c r="B5" i="14"/>
  <c r="B23" i="14" s="1"/>
  <c r="B14" i="12"/>
  <c r="D2" i="10"/>
  <c r="C6" i="7"/>
  <c r="D6" i="7"/>
  <c r="E6" i="7"/>
  <c r="F6" i="7"/>
  <c r="G6" i="7"/>
  <c r="H6" i="7"/>
  <c r="I6" i="7"/>
  <c r="J6" i="7"/>
  <c r="K6" i="7"/>
  <c r="B11" i="7"/>
  <c r="B6" i="7"/>
  <c r="C12" i="13"/>
  <c r="D12" i="13"/>
  <c r="E12" i="13"/>
  <c r="F12" i="13"/>
  <c r="B12" i="13"/>
  <c r="F4" i="13"/>
  <c r="E4" i="13"/>
  <c r="D4" i="13"/>
  <c r="C4" i="13"/>
  <c r="B4" i="13"/>
  <c r="C5" i="13"/>
  <c r="D5" i="13"/>
  <c r="E5" i="13"/>
  <c r="F5" i="13"/>
  <c r="B5" i="13"/>
  <c r="C6" i="13"/>
  <c r="D6" i="13"/>
  <c r="E6" i="13"/>
  <c r="F6" i="13"/>
  <c r="B6" i="13"/>
  <c r="C7" i="13"/>
  <c r="D7" i="13"/>
  <c r="E7" i="13"/>
  <c r="F7" i="13"/>
  <c r="B7" i="13"/>
  <c r="C8" i="13"/>
  <c r="D8" i="13"/>
  <c r="E8" i="13"/>
  <c r="F8" i="13"/>
  <c r="B8" i="13"/>
  <c r="C9" i="13"/>
  <c r="D9" i="13"/>
  <c r="E9" i="13"/>
  <c r="F9" i="13"/>
  <c r="B9" i="13"/>
  <c r="F10" i="13"/>
  <c r="C10" i="13"/>
  <c r="D10" i="13"/>
  <c r="E10" i="13"/>
  <c r="B10" i="13"/>
  <c r="B11" i="13"/>
  <c r="C11" i="13"/>
  <c r="D11" i="13"/>
  <c r="E11" i="13"/>
  <c r="F11" i="13"/>
  <c r="B6" i="10"/>
  <c r="B5" i="10"/>
  <c r="F3" i="9"/>
  <c r="B4" i="10"/>
  <c r="B24" i="11"/>
  <c r="B12" i="11"/>
  <c r="F3" i="13"/>
  <c r="F2" i="13"/>
  <c r="E3" i="13"/>
  <c r="D3" i="13"/>
  <c r="C3" i="13"/>
  <c r="B3" i="13"/>
  <c r="B14" i="14" l="1"/>
  <c r="C15" i="14"/>
  <c r="B18" i="14"/>
  <c r="C19" i="14"/>
  <c r="B22" i="14"/>
  <c r="C23" i="14"/>
  <c r="D23" i="14" s="1"/>
  <c r="B6" i="14"/>
  <c r="C14" i="14"/>
  <c r="B17" i="14"/>
  <c r="C18" i="14"/>
  <c r="B21" i="14"/>
  <c r="C22" i="14"/>
  <c r="B25" i="14"/>
  <c r="C13" i="14"/>
  <c r="D13" i="14" s="1"/>
  <c r="B16" i="14"/>
  <c r="C17" i="14"/>
  <c r="B20" i="14"/>
  <c r="C21" i="14"/>
  <c r="B24" i="14"/>
  <c r="D24" i="14" s="1"/>
  <c r="C25" i="14"/>
  <c r="B15" i="14"/>
  <c r="C16" i="14"/>
  <c r="B19" i="14"/>
  <c r="C20" i="14"/>
  <c r="C7" i="6"/>
  <c r="B7" i="6"/>
  <c r="D7" i="6" s="1"/>
  <c r="D19" i="14" l="1"/>
  <c r="D15" i="14"/>
  <c r="D16" i="14"/>
  <c r="D21" i="14"/>
  <c r="D18" i="14"/>
  <c r="D20" i="14"/>
  <c r="D25" i="14"/>
  <c r="D17" i="14"/>
  <c r="D22" i="14"/>
  <c r="D14" i="14"/>
  <c r="B2" i="11"/>
  <c r="B8" i="10"/>
  <c r="B28" i="9"/>
  <c r="F25" i="9" s="1"/>
  <c r="H18" i="9"/>
  <c r="B7" i="10" s="1"/>
  <c r="B3" i="10"/>
  <c r="E6" i="1"/>
  <c r="E15" i="1"/>
  <c r="E16" i="1"/>
  <c r="C17" i="1"/>
  <c r="D17" i="1"/>
  <c r="B17" i="1"/>
  <c r="B6" i="1"/>
  <c r="C6" i="1"/>
  <c r="B9" i="1"/>
  <c r="C9" i="1"/>
  <c r="D6" i="1"/>
  <c r="D7" i="1" s="1"/>
  <c r="D11" i="1" s="1"/>
  <c r="E7" i="1"/>
  <c r="E11" i="1" s="1"/>
  <c r="D9" i="1"/>
  <c r="D10" i="1" s="1"/>
  <c r="E9" i="1"/>
  <c r="D15" i="1"/>
  <c r="D16" i="1" s="1"/>
  <c r="E31" i="4"/>
  <c r="E28" i="4"/>
  <c r="I29" i="4" s="1"/>
  <c r="I43" i="4" s="1"/>
  <c r="I42" i="4"/>
  <c r="I41" i="4"/>
  <c r="E34" i="4"/>
  <c r="E32" i="4"/>
  <c r="E35" i="4"/>
  <c r="D13" i="3"/>
  <c r="E18" i="4" s="1"/>
  <c r="I17" i="4" s="1"/>
  <c r="E8" i="4"/>
  <c r="E4" i="4"/>
  <c r="I5" i="4" s="1"/>
  <c r="E10" i="4"/>
  <c r="I19" i="4"/>
  <c r="I18" i="4"/>
  <c r="E12" i="4"/>
  <c r="E7" i="4"/>
  <c r="I4" i="4" s="1"/>
  <c r="H3" i="9"/>
  <c r="J3" i="9" s="1"/>
  <c r="L3" i="9" s="1"/>
  <c r="B12" i="7"/>
  <c r="B21" i="7" s="1"/>
  <c r="B13" i="7"/>
  <c r="E10" i="1" l="1"/>
  <c r="E17" i="1"/>
  <c r="D13" i="1"/>
  <c r="E13" i="1"/>
  <c r="I30" i="4"/>
  <c r="I34" i="4"/>
  <c r="C11" i="7" a="1"/>
  <c r="C11" i="7" s="1"/>
  <c r="B4" i="6" s="1"/>
  <c r="D4" i="6" s="1"/>
  <c r="B5" i="6" l="1"/>
  <c r="D5" i="6" s="1"/>
  <c r="B6" i="6"/>
  <c r="B3" i="6"/>
  <c r="E14" i="1"/>
  <c r="E12" i="1"/>
  <c r="D12" i="1"/>
  <c r="D14" i="1"/>
  <c r="I31" i="4"/>
  <c r="I35" i="4"/>
  <c r="I36" i="4" s="1"/>
  <c r="I39" i="4" s="1"/>
  <c r="B11" i="6"/>
  <c r="B14" i="6" s="1"/>
  <c r="D3" i="10" s="1"/>
  <c r="D3" i="6"/>
  <c r="C20" i="7"/>
  <c r="C18" i="7"/>
  <c r="C13" i="7"/>
  <c r="C12" i="7"/>
  <c r="C17" i="7"/>
  <c r="C19" i="7"/>
  <c r="C15" i="7"/>
  <c r="C16" i="7"/>
  <c r="C14" i="7"/>
  <c r="B9" i="6" l="1"/>
  <c r="I32" i="4"/>
  <c r="D6" i="6"/>
  <c r="D9" i="6" s="1"/>
  <c r="B18" i="6" l="1"/>
  <c r="B5" i="12" s="1"/>
  <c r="D9" i="10"/>
  <c r="I33" i="4"/>
  <c r="I37" i="4" s="1"/>
  <c r="I38" i="4" s="1"/>
  <c r="I40" i="4" s="1"/>
  <c r="L27" i="4" s="1"/>
  <c r="B18" i="12" l="1"/>
  <c r="B22" i="12"/>
  <c r="B15" i="12"/>
  <c r="B19" i="12"/>
  <c r="B23" i="12"/>
  <c r="B16" i="12"/>
  <c r="B20" i="12"/>
  <c r="B24" i="12"/>
  <c r="B17" i="12"/>
  <c r="B21" i="12"/>
  <c r="B25" i="12"/>
  <c r="B13" i="3"/>
  <c r="E9" i="4" s="1"/>
  <c r="C3" i="5"/>
  <c r="E13" i="4" l="1"/>
  <c r="I10" i="4" s="1"/>
  <c r="I6" i="4"/>
  <c r="G12" i="1"/>
  <c r="G4" i="1"/>
  <c r="G5" i="1"/>
  <c r="G6" i="1"/>
  <c r="G7" i="1"/>
  <c r="G8" i="1"/>
  <c r="G9" i="1"/>
  <c r="G10" i="1"/>
  <c r="G11" i="1"/>
  <c r="G3" i="1"/>
  <c r="C10" i="1"/>
  <c r="B7" i="1"/>
  <c r="B11" i="1" s="1"/>
  <c r="I7" i="4" l="1"/>
  <c r="I11" i="4"/>
  <c r="I12" i="4" s="1"/>
  <c r="I15" i="4" s="1"/>
  <c r="H51" i="4"/>
  <c r="C7" i="1"/>
  <c r="C11" i="1" s="1"/>
  <c r="C13" i="1" s="1"/>
  <c r="C14" i="1" s="1"/>
  <c r="C15" i="1"/>
  <c r="C16" i="1" s="1"/>
  <c r="B10" i="1"/>
  <c r="B13" i="1" s="1"/>
  <c r="B14" i="1" s="1"/>
  <c r="B15" i="1"/>
  <c r="B16" i="1" s="1"/>
  <c r="I8" i="4" l="1"/>
  <c r="H50" i="4" s="1"/>
  <c r="C12" i="1"/>
  <c r="B12" i="1"/>
  <c r="I9" i="4" l="1"/>
  <c r="I13" i="4" s="1"/>
  <c r="I14" i="4" s="1"/>
  <c r="I16" i="4" l="1"/>
  <c r="L3" i="4" s="1"/>
  <c r="B2" i="10" s="1"/>
  <c r="B9" i="10" s="1"/>
  <c r="H52" i="4"/>
  <c r="C11" i="11" l="1"/>
  <c r="C15" i="11"/>
  <c r="C19" i="11"/>
  <c r="C3" i="11"/>
  <c r="C7" i="11"/>
  <c r="C12" i="11"/>
  <c r="C16" i="11"/>
  <c r="C20" i="11"/>
  <c r="C4" i="11"/>
  <c r="C8" i="11"/>
  <c r="C10" i="11"/>
  <c r="C14" i="11"/>
  <c r="C18" i="11"/>
  <c r="C6" i="11"/>
  <c r="C13" i="11"/>
  <c r="C17" i="11"/>
  <c r="C21" i="11"/>
  <c r="C5" i="11"/>
  <c r="C9" i="11"/>
  <c r="C2" i="11"/>
  <c r="C24" i="11" s="1"/>
  <c r="B4" i="12" l="1"/>
  <c r="C17" i="12" l="1"/>
  <c r="D17" i="12" s="1"/>
  <c r="C21" i="12"/>
  <c r="D21" i="12" s="1"/>
  <c r="C25" i="12"/>
  <c r="D25" i="12" s="1"/>
  <c r="C14" i="12"/>
  <c r="D14" i="12" s="1"/>
  <c r="C18" i="12"/>
  <c r="D18" i="12" s="1"/>
  <c r="C22" i="12"/>
  <c r="D22" i="12" s="1"/>
  <c r="C13" i="12"/>
  <c r="D13" i="12" s="1"/>
  <c r="C15" i="12"/>
  <c r="D15" i="12" s="1"/>
  <c r="C19" i="12"/>
  <c r="D19" i="12" s="1"/>
  <c r="C23" i="12"/>
  <c r="D23" i="12" s="1"/>
  <c r="C16" i="12"/>
  <c r="D16" i="12" s="1"/>
  <c r="C20" i="12"/>
  <c r="D20" i="12" s="1"/>
  <c r="C24" i="12"/>
  <c r="D24" i="12" s="1"/>
  <c r="B6" i="12"/>
</calcChain>
</file>

<file path=xl/sharedStrings.xml><?xml version="1.0" encoding="utf-8"?>
<sst xmlns="http://schemas.openxmlformats.org/spreadsheetml/2006/main" count="275" uniqueCount="204">
  <si>
    <t>Werknemer</t>
  </si>
  <si>
    <t>RSZ op 108%</t>
  </si>
  <si>
    <t xml:space="preserve">uren per dag </t>
  </si>
  <si>
    <t>Bruto uurloon</t>
  </si>
  <si>
    <t>Bruto maandloon</t>
  </si>
  <si>
    <t>Bruto jaarloon</t>
  </si>
  <si>
    <t>Afhouding RSZ</t>
  </si>
  <si>
    <t>Belastbaar loon</t>
  </si>
  <si>
    <t>Bedrijfsvoorheffing</t>
  </si>
  <si>
    <t>Netto jaarloon</t>
  </si>
  <si>
    <t>Netto maandloon</t>
  </si>
  <si>
    <t>Netto uurloon</t>
  </si>
  <si>
    <t>Bruto + Rsz werkgever</t>
  </si>
  <si>
    <t>Jaarlijkse kosten werkgever</t>
  </si>
  <si>
    <t>Programeur junior A</t>
  </si>
  <si>
    <t>Programeur senior A</t>
  </si>
  <si>
    <t>Programeur junior B</t>
  </si>
  <si>
    <t>Programeur senior B</t>
  </si>
  <si>
    <t>Bedrijfsvoorheffing barema's 2015</t>
  </si>
  <si>
    <t>dagen per maand</t>
  </si>
  <si>
    <t>proximus pro</t>
  </si>
  <si>
    <t>IntelliJ IDEA</t>
  </si>
  <si>
    <t>per maand</t>
  </si>
  <si>
    <t>Intel Core I7-4790k 4,0GHz Quad-core Processor</t>
  </si>
  <si>
    <t>Asus Z97-e ATX LGA1150 Motherboard</t>
  </si>
  <si>
    <t>Corsair 500R Black ATX Mid Tower Case</t>
  </si>
  <si>
    <t>Corsair CX 600W 80+ Bronze certified semi-Modular ATX Power supply</t>
  </si>
  <si>
    <t>G. Skill RipJaws X Series 16GB (8 GB) DDR3-1600 Memory</t>
  </si>
  <si>
    <t>Samsung 850 EVO-Series 500gb 2.5 inch solid state drive</t>
  </si>
  <si>
    <t>Western Digital caviar black 1tb 3.5 inch 7200 rpm internal hard drive</t>
  </si>
  <si>
    <t>EVGA GeForce GTX 970 4GB Superclocked ACX 2.0 Video Card</t>
  </si>
  <si>
    <t>LG 27MP37VQ 27"</t>
  </si>
  <si>
    <t>TRUST Muis (15862)</t>
  </si>
  <si>
    <t>http://www.ikea.com/be/nl/catalog/products/80213074/</t>
  </si>
  <si>
    <t>Computertafel</t>
  </si>
  <si>
    <t>http://www.ikea.com/be/nl/catalog/products/90196597/</t>
  </si>
  <si>
    <t>bureaustoel</t>
  </si>
  <si>
    <t>Sander</t>
  </si>
  <si>
    <t>Arthur</t>
  </si>
  <si>
    <t>Davy</t>
  </si>
  <si>
    <t>TRUST ClassicLine Keyboard azerty</t>
  </si>
  <si>
    <t>Geschatte aankopen creditbonus</t>
  </si>
  <si>
    <t>achtergronden</t>
  </si>
  <si>
    <t>Inkomen</t>
  </si>
  <si>
    <t>Geschatte aantall aankopen</t>
  </si>
  <si>
    <t xml:space="preserve">inkomsten per aankoop </t>
  </si>
  <si>
    <t>Music pack</t>
  </si>
  <si>
    <t>Geschatte Omzet per jaar voor aankopen</t>
  </si>
  <si>
    <t>Geschatte omzet per jaar voor reclame inkomsten</t>
  </si>
  <si>
    <t>Aantal bezoekers</t>
  </si>
  <si>
    <t>Aantal gerigstreerde gebruikers per jaar</t>
  </si>
  <si>
    <t>Ouderdom spell in jaar</t>
  </si>
  <si>
    <t>% actieve gebruikers</t>
  </si>
  <si>
    <t>actieve gebruikers</t>
  </si>
  <si>
    <t>retentie</t>
  </si>
  <si>
    <t>Gebruikers versie A</t>
  </si>
  <si>
    <t xml:space="preserve">Periode </t>
  </si>
  <si>
    <t>Aantal</t>
  </si>
  <si>
    <t>Schatting</t>
  </si>
  <si>
    <t>Groei gebruikers in percentage</t>
  </si>
  <si>
    <t>avarage number of ads per month per user</t>
  </si>
  <si>
    <t>Inkomsten</t>
  </si>
  <si>
    <t>Inkomsten per 1000 keer reclame tonen</t>
  </si>
  <si>
    <t>Totaal</t>
  </si>
  <si>
    <t>Geschatte omzet per jaar totaal</t>
  </si>
  <si>
    <t>Naam</t>
  </si>
  <si>
    <t>Prijs per jaar</t>
  </si>
  <si>
    <t xml:space="preserve">Water </t>
  </si>
  <si>
    <t>Prijs</t>
  </si>
  <si>
    <t>Hoeveelheid type</t>
  </si>
  <si>
    <t>Waterverbruik</t>
  </si>
  <si>
    <t>totaalwaterverbruik</t>
  </si>
  <si>
    <t>totaal water</t>
  </si>
  <si>
    <t>kostprijs water totaal</t>
  </si>
  <si>
    <t>m³</t>
  </si>
  <si>
    <t>m²/jaar</t>
  </si>
  <si>
    <t>Sociale kosten water</t>
  </si>
  <si>
    <t>Elektriciteit</t>
  </si>
  <si>
    <t>KW/h</t>
  </si>
  <si>
    <t>l/week</t>
  </si>
  <si>
    <t>Prijs per jaar per computer</t>
  </si>
  <si>
    <t>Windows 10 pro</t>
  </si>
  <si>
    <t>Prijs per computer</t>
  </si>
  <si>
    <t>Dagelijks verbruik in L</t>
  </si>
  <si>
    <t>skins</t>
  </si>
  <si>
    <t>SD</t>
  </si>
  <si>
    <t>Afschrijvingsduur</t>
  </si>
  <si>
    <t>jaar</t>
  </si>
  <si>
    <t>AD</t>
  </si>
  <si>
    <t>N</t>
  </si>
  <si>
    <t>vervangingswaarde</t>
  </si>
  <si>
    <t>H</t>
  </si>
  <si>
    <t>uur</t>
  </si>
  <si>
    <t>restwaarde</t>
  </si>
  <si>
    <t>h</t>
  </si>
  <si>
    <t>uur/jaar</t>
  </si>
  <si>
    <t>Jaarlijkse afschrijving</t>
  </si>
  <si>
    <t>Ap</t>
  </si>
  <si>
    <t>gedane afschrijving</t>
  </si>
  <si>
    <t>infl</t>
  </si>
  <si>
    <t>jaarlijkse aflossing</t>
  </si>
  <si>
    <t>RW%</t>
  </si>
  <si>
    <t>Gedane aflossing</t>
  </si>
  <si>
    <t>IVV</t>
  </si>
  <si>
    <t>SS</t>
  </si>
  <si>
    <t>Gel, bedrag</t>
  </si>
  <si>
    <t>Eigen Vermogen</t>
  </si>
  <si>
    <t>LD</t>
  </si>
  <si>
    <t>iev</t>
  </si>
  <si>
    <t>IEV</t>
  </si>
  <si>
    <t>ivv</t>
  </si>
  <si>
    <t>Onderhoud</t>
  </si>
  <si>
    <t>per/uur</t>
  </si>
  <si>
    <t>IT</t>
  </si>
  <si>
    <t>Herstellingen</t>
  </si>
  <si>
    <t>O&amp;H</t>
  </si>
  <si>
    <t>Verzekering</t>
  </si>
  <si>
    <t>Brand verz</t>
  </si>
  <si>
    <t>Belastingen</t>
  </si>
  <si>
    <t>Verz 3de</t>
  </si>
  <si>
    <t>Bel</t>
  </si>
  <si>
    <t>eigen inbreng</t>
  </si>
  <si>
    <t xml:space="preserve">inflatie </t>
  </si>
  <si>
    <t>Simulatie datum</t>
  </si>
  <si>
    <t>Leen duur</t>
  </si>
  <si>
    <t>Intrest eigen vermogen</t>
  </si>
  <si>
    <t>intrest vreemd vermogen</t>
  </si>
  <si>
    <t>Intrest totaal</t>
  </si>
  <si>
    <t>Tot kosten/jaar Computers</t>
  </si>
  <si>
    <t>Berekening Computers</t>
  </si>
  <si>
    <t>Gegevens Computers</t>
  </si>
  <si>
    <t>Gebruikers versie B</t>
  </si>
  <si>
    <t>Vervangingspercentage</t>
  </si>
  <si>
    <t>Vervangingskosten</t>
  </si>
  <si>
    <t>Gegevens interieur</t>
  </si>
  <si>
    <t>Berekening interieur</t>
  </si>
  <si>
    <t>Tot kosten/jaar interieur</t>
  </si>
  <si>
    <t>Totaal Eigen intresten</t>
  </si>
  <si>
    <t>Kosten werknemer per uur</t>
  </si>
  <si>
    <t>Totaal  afschrijvingen jaar</t>
  </si>
  <si>
    <t>Totaal  aflossingen jaar</t>
  </si>
  <si>
    <t>Computers</t>
  </si>
  <si>
    <t>Interieur</t>
  </si>
  <si>
    <t>Arbeiders</t>
  </si>
  <si>
    <t>Water</t>
  </si>
  <si>
    <t>Software</t>
  </si>
  <si>
    <t>Aankopen</t>
  </si>
  <si>
    <t>Reclame</t>
  </si>
  <si>
    <t>Internet</t>
  </si>
  <si>
    <t>Per maand</t>
  </si>
  <si>
    <t>Huur bedrijfshal</t>
  </si>
  <si>
    <t>Adress</t>
  </si>
  <si>
    <t>Schipstraat 1 Diksmuide 8600</t>
  </si>
  <si>
    <t>m²</t>
  </si>
  <si>
    <t>Prijs per m²</t>
  </si>
  <si>
    <t xml:space="preserve">Oppervlakte </t>
  </si>
  <si>
    <t>Prijs tot/maand</t>
  </si>
  <si>
    <t>Huur kantoor</t>
  </si>
  <si>
    <t>Kosten per jaar</t>
  </si>
  <si>
    <t>Uren</t>
  </si>
  <si>
    <t>Onderwerp</t>
  </si>
  <si>
    <t>ANALYSE</t>
  </si>
  <si>
    <t>Creating conceptual schema with ORM</t>
  </si>
  <si>
    <t>Map conceptual schema to relational datamodel</t>
  </si>
  <si>
    <t>Relational Model to MySQL</t>
  </si>
  <si>
    <t>Functional &amp; non-functional Analysis</t>
  </si>
  <si>
    <t>Analyse Basic Functionality</t>
  </si>
  <si>
    <t>Low-Fidility Wireframes</t>
  </si>
  <si>
    <t>High-Fidility Wireframes</t>
  </si>
  <si>
    <t>Implement Feedback</t>
  </si>
  <si>
    <t>Verwachte kostenanalyse</t>
  </si>
  <si>
    <t>Kostprijs</t>
  </si>
  <si>
    <t>Gameplay SP</t>
  </si>
  <si>
    <t>Gameplay MP</t>
  </si>
  <si>
    <t>Verschillende type bubbles</t>
  </si>
  <si>
    <t>Powers ups</t>
  </si>
  <si>
    <t>Power downs</t>
  </si>
  <si>
    <t>Moeilijkheidsgraad</t>
  </si>
  <si>
    <t>Score bereken &amp; weergeven</t>
  </si>
  <si>
    <t>Menu Scherm</t>
  </si>
  <si>
    <t>Unit tests</t>
  </si>
  <si>
    <t>Programeren</t>
  </si>
  <si>
    <t>Totale project kosten</t>
  </si>
  <si>
    <t xml:space="preserve">Uren </t>
  </si>
  <si>
    <t>Omzet per 60.000 gebruikers per jaar</t>
  </si>
  <si>
    <t>Variabele kosten</t>
  </si>
  <si>
    <t>Vaste Kosten</t>
  </si>
  <si>
    <t>Break even punt</t>
  </si>
  <si>
    <t>Gebruikers</t>
  </si>
  <si>
    <t>Uitgaven</t>
  </si>
  <si>
    <t>winst</t>
  </si>
  <si>
    <t>Omzet per gebruiker</t>
  </si>
  <si>
    <t>Wat</t>
  </si>
  <si>
    <t>Onderdeel</t>
  </si>
  <si>
    <t>Powerup</t>
  </si>
  <si>
    <t>Beau</t>
  </si>
  <si>
    <t>Aantal actieve gebruikers</t>
  </si>
  <si>
    <t>Gepresteerde uren</t>
  </si>
  <si>
    <t>Gepresteerde dagen</t>
  </si>
  <si>
    <t>kostprijs werkgever</t>
  </si>
  <si>
    <t>extra kosten totaal</t>
  </si>
  <si>
    <t>onderwerp</t>
  </si>
  <si>
    <t>Kosten totaal</t>
  </si>
  <si>
    <t>Break even analyse op schatting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</si>
</sst>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€&quot;\ * #,##0.00_ ;_ &quot;€&quot;\ * \-#,##0.00_ ;_ &quot;€&quot;\ * &quot;-&quot;??_ ;_ @_ "/>
    <numFmt numFmtId="164" formatCode="#,##0\ [$€-1];[Red]\-#,##0\ [$€-1]"/>
    <numFmt numFmtId="165" formatCode="_ &quot;€&quot;\ * #,##0.0000_ ;_ &quot;€&quot;\ * \-#,##0.0000_ ;_ &quot;€&quot;\ * &quot;-&quot;????_ ;_ @_ "/>
    <numFmt numFmtId="166" formatCode="_ &quot;€&quot;\ * #,##0.0000_ ;_ &quot;€&quot;\ * \-#,##0.0000_ ;_ &quot;€&quot;\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10" fontId="0" fillId="3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Font="1" applyFill="1" applyBorder="1"/>
    <xf numFmtId="44" fontId="0" fillId="0" borderId="2" xfId="1" applyNumberFormat="1" applyFont="1" applyBorder="1"/>
    <xf numFmtId="44" fontId="0" fillId="3" borderId="2" xfId="0" applyNumberFormat="1" applyFont="1" applyFill="1" applyBorder="1"/>
    <xf numFmtId="44" fontId="0" fillId="0" borderId="2" xfId="0" applyNumberFormat="1" applyFont="1" applyBorder="1"/>
    <xf numFmtId="44" fontId="0" fillId="0" borderId="2" xfId="1" applyNumberFormat="1" applyFont="1" applyBorder="1" applyAlignment="1">
      <alignment horizontal="left"/>
    </xf>
    <xf numFmtId="44" fontId="0" fillId="3" borderId="0" xfId="1" applyFont="1" applyFill="1" applyBorder="1"/>
    <xf numFmtId="44" fontId="0" fillId="0" borderId="0" xfId="1" applyNumberFormat="1" applyFont="1" applyFill="1" applyBorder="1"/>
    <xf numFmtId="44" fontId="0" fillId="0" borderId="0" xfId="1" applyFont="1"/>
    <xf numFmtId="44" fontId="0" fillId="0" borderId="0" xfId="1" applyFont="1" applyFill="1" applyBorder="1"/>
    <xf numFmtId="9" fontId="0" fillId="0" borderId="0" xfId="0" applyNumberFormat="1"/>
    <xf numFmtId="10" fontId="0" fillId="0" borderId="0" xfId="0" applyNumberFormat="1"/>
    <xf numFmtId="44" fontId="4" fillId="4" borderId="0" xfId="1" applyFont="1" applyFill="1" applyBorder="1"/>
    <xf numFmtId="44" fontId="6" fillId="0" borderId="0" xfId="1" applyFont="1"/>
    <xf numFmtId="44" fontId="0" fillId="0" borderId="0" xfId="1" applyFont="1" applyAlignment="1">
      <alignment horizontal="right" indent="1"/>
    </xf>
    <xf numFmtId="44" fontId="5" fillId="0" borderId="0" xfId="1" applyFont="1" applyAlignment="1">
      <alignment horizontal="right" vertical="center" wrapText="1"/>
    </xf>
    <xf numFmtId="0" fontId="7" fillId="0" borderId="0" xfId="3"/>
    <xf numFmtId="44" fontId="0" fillId="0" borderId="0" xfId="0" applyNumberFormat="1"/>
    <xf numFmtId="9" fontId="0" fillId="0" borderId="0" xfId="2" applyFont="1"/>
    <xf numFmtId="44" fontId="8" fillId="0" borderId="0" xfId="1" applyFont="1"/>
    <xf numFmtId="0" fontId="9" fillId="0" borderId="0" xfId="0" applyFont="1" applyAlignment="1"/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0" fontId="3" fillId="0" borderId="0" xfId="0" applyFont="1"/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44" fontId="0" fillId="6" borderId="0" xfId="1" applyFont="1" applyFill="1" applyBorder="1"/>
    <xf numFmtId="0" fontId="0" fillId="6" borderId="0" xfId="0" applyFill="1" applyBorder="1"/>
    <xf numFmtId="165" fontId="0" fillId="6" borderId="0" xfId="0" applyNumberFormat="1" applyFill="1" applyBorder="1"/>
    <xf numFmtId="0" fontId="0" fillId="6" borderId="7" xfId="0" applyFill="1" applyBorder="1"/>
    <xf numFmtId="166" fontId="0" fillId="6" borderId="0" xfId="1" applyNumberFormat="1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0" xfId="0" applyBorder="1"/>
    <xf numFmtId="0" fontId="10" fillId="8" borderId="6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0" fillId="8" borderId="0" xfId="0" applyFill="1"/>
    <xf numFmtId="0" fontId="10" fillId="8" borderId="7" xfId="0" applyFont="1" applyFill="1" applyBorder="1" applyAlignment="1">
      <alignment horizontal="center"/>
    </xf>
    <xf numFmtId="0" fontId="0" fillId="8" borderId="6" xfId="0" applyFill="1" applyBorder="1"/>
    <xf numFmtId="166" fontId="0" fillId="8" borderId="0" xfId="1" applyNumberFormat="1" applyFont="1" applyFill="1" applyBorder="1"/>
    <xf numFmtId="0" fontId="0" fillId="8" borderId="0" xfId="0" applyFill="1" applyBorder="1"/>
    <xf numFmtId="44" fontId="0" fillId="8" borderId="0" xfId="1" applyFont="1" applyFill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3" fillId="5" borderId="14" xfId="0" applyFont="1" applyFill="1" applyBorder="1"/>
    <xf numFmtId="44" fontId="0" fillId="6" borderId="15" xfId="0" applyNumberFormat="1" applyFill="1" applyBorder="1"/>
    <xf numFmtId="14" fontId="0" fillId="6" borderId="0" xfId="0" applyNumberFormat="1" applyFill="1" applyBorder="1"/>
    <xf numFmtId="2" fontId="0" fillId="6" borderId="0" xfId="0" applyNumberFormat="1" applyFill="1" applyBorder="1"/>
    <xf numFmtId="44" fontId="0" fillId="6" borderId="0" xfId="0" applyNumberFormat="1" applyFill="1" applyBorder="1"/>
    <xf numFmtId="10" fontId="0" fillId="6" borderId="0" xfId="0" applyNumberFormat="1" applyFill="1" applyBorder="1"/>
    <xf numFmtId="9" fontId="0" fillId="6" borderId="0" xfId="0" applyNumberFormat="1" applyFill="1" applyBorder="1"/>
    <xf numFmtId="10" fontId="0" fillId="6" borderId="0" xfId="2" applyNumberFormat="1" applyFont="1" applyFill="1" applyBorder="1"/>
    <xf numFmtId="44" fontId="0" fillId="6" borderId="9" xfId="0" applyNumberFormat="1" applyFill="1" applyBorder="1"/>
    <xf numFmtId="44" fontId="0" fillId="6" borderId="9" xfId="1" applyFont="1" applyFill="1" applyBorder="1"/>
    <xf numFmtId="14" fontId="0" fillId="0" borderId="0" xfId="0" applyNumberFormat="1"/>
    <xf numFmtId="0" fontId="0" fillId="6" borderId="0" xfId="1" applyNumberFormat="1" applyFont="1" applyFill="1" applyBorder="1"/>
    <xf numFmtId="1" fontId="0" fillId="6" borderId="0" xfId="1" applyNumberFormat="1" applyFont="1" applyFill="1" applyBorder="1"/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9" fontId="0" fillId="6" borderId="9" xfId="2" applyFont="1" applyFill="1" applyBorder="1"/>
    <xf numFmtId="44" fontId="0" fillId="6" borderId="7" xfId="0" applyNumberFormat="1" applyFill="1" applyBorder="1"/>
    <xf numFmtId="44" fontId="0" fillId="6" borderId="10" xfId="0" applyNumberFormat="1" applyFill="1" applyBorder="1"/>
    <xf numFmtId="0" fontId="0" fillId="0" borderId="16" xfId="0" applyFont="1" applyFill="1" applyBorder="1"/>
    <xf numFmtId="44" fontId="0" fillId="8" borderId="0" xfId="1" applyNumberFormat="1" applyFont="1" applyFill="1" applyBorder="1"/>
    <xf numFmtId="0" fontId="0" fillId="8" borderId="4" xfId="0" applyFill="1" applyBorder="1"/>
    <xf numFmtId="44" fontId="0" fillId="8" borderId="0" xfId="0" applyNumberFormat="1" applyFill="1" applyBorder="1"/>
    <xf numFmtId="164" fontId="0" fillId="6" borderId="0" xfId="0" applyNumberFormat="1" applyFill="1" applyBorder="1"/>
    <xf numFmtId="0" fontId="11" fillId="0" borderId="0" xfId="0" applyFont="1"/>
    <xf numFmtId="44" fontId="12" fillId="0" borderId="0" xfId="1" applyFont="1"/>
    <xf numFmtId="0" fontId="12" fillId="0" borderId="0" xfId="0" applyFont="1"/>
    <xf numFmtId="44" fontId="3" fillId="0" borderId="0" xfId="0" applyNumberFormat="1" applyFont="1"/>
    <xf numFmtId="0" fontId="0" fillId="0" borderId="0" xfId="0" applyNumberFormat="1"/>
    <xf numFmtId="0" fontId="2" fillId="2" borderId="0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/>
    <xf numFmtId="1" fontId="0" fillId="0" borderId="0" xfId="0" applyNumberFormat="1" applyBorder="1"/>
    <xf numFmtId="44" fontId="0" fillId="0" borderId="0" xfId="0" applyNumberFormat="1" applyBorder="1"/>
    <xf numFmtId="0" fontId="3" fillId="0" borderId="0" xfId="0" applyFont="1" applyAlignment="1">
      <alignment horizontal="center"/>
    </xf>
  </cellXfs>
  <cellStyles count="4">
    <cellStyle name="Hyperlink" xfId="3" builtinId="8"/>
    <cellStyle name="Procent" xfId="2" builtinId="5"/>
    <cellStyle name="Standaard" xfId="0" builtinId="0"/>
    <cellStyle name="Valuta" xfId="1" builtinId="4"/>
  </cellStyles>
  <dxfs count="5"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even punt op schatting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 even analyse op schatting'!$B$12</c:f>
              <c:strCache>
                <c:ptCount val="1"/>
                <c:pt idx="0">
                  <c:v>Inkomsten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'Break even analyse op schatting'!$A$13:$A$25</c:f>
              <c:numCache>
                <c:formatCode>General</c:formatCode>
                <c:ptCount val="13"/>
                <c:pt idx="0">
                  <c:v>0</c:v>
                </c:pt>
                <c:pt idx="1">
                  <c:v>40000</c:v>
                </c:pt>
                <c:pt idx="2">
                  <c:v>80000</c:v>
                </c:pt>
                <c:pt idx="3">
                  <c:v>120000</c:v>
                </c:pt>
                <c:pt idx="4">
                  <c:v>160000</c:v>
                </c:pt>
                <c:pt idx="5">
                  <c:v>200000</c:v>
                </c:pt>
                <c:pt idx="6">
                  <c:v>240000</c:v>
                </c:pt>
                <c:pt idx="7">
                  <c:v>280000</c:v>
                </c:pt>
                <c:pt idx="8">
                  <c:v>320000</c:v>
                </c:pt>
                <c:pt idx="9">
                  <c:v>360000</c:v>
                </c:pt>
                <c:pt idx="10">
                  <c:v>400000</c:v>
                </c:pt>
                <c:pt idx="11">
                  <c:v>440000</c:v>
                </c:pt>
                <c:pt idx="12">
                  <c:v>480000</c:v>
                </c:pt>
              </c:numCache>
            </c:numRef>
          </c:cat>
          <c:val>
            <c:numRef>
              <c:f>'Break even analyse op schatting'!$B$13:$B$25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18581.225683967048</c:v>
                </c:pt>
                <c:pt idx="2">
                  <c:v>37162.451367934096</c:v>
                </c:pt>
                <c:pt idx="3">
                  <c:v>55743.677051901148</c:v>
                </c:pt>
                <c:pt idx="4">
                  <c:v>74324.902735868192</c:v>
                </c:pt>
                <c:pt idx="5">
                  <c:v>92906.128419835237</c:v>
                </c:pt>
                <c:pt idx="6">
                  <c:v>111487.3541038023</c:v>
                </c:pt>
                <c:pt idx="7">
                  <c:v>130068.57978776934</c:v>
                </c:pt>
                <c:pt idx="8">
                  <c:v>148649.80547173638</c:v>
                </c:pt>
                <c:pt idx="9">
                  <c:v>167231.03115570344</c:v>
                </c:pt>
                <c:pt idx="10">
                  <c:v>185812.25683967047</c:v>
                </c:pt>
                <c:pt idx="11">
                  <c:v>204393.48252363753</c:v>
                </c:pt>
                <c:pt idx="12">
                  <c:v>222974.70820760459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'Break even analyse op schatting'!$C$12</c:f>
              <c:strCache>
                <c:ptCount val="1"/>
                <c:pt idx="0">
                  <c:v>Uitgaven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'Break even analyse op schatting'!$A$13:$A$25</c:f>
              <c:numCache>
                <c:formatCode>General</c:formatCode>
                <c:ptCount val="13"/>
                <c:pt idx="0">
                  <c:v>0</c:v>
                </c:pt>
                <c:pt idx="1">
                  <c:v>40000</c:v>
                </c:pt>
                <c:pt idx="2">
                  <c:v>80000</c:v>
                </c:pt>
                <c:pt idx="3">
                  <c:v>120000</c:v>
                </c:pt>
                <c:pt idx="4">
                  <c:v>160000</c:v>
                </c:pt>
                <c:pt idx="5">
                  <c:v>200000</c:v>
                </c:pt>
                <c:pt idx="6">
                  <c:v>240000</c:v>
                </c:pt>
                <c:pt idx="7">
                  <c:v>280000</c:v>
                </c:pt>
                <c:pt idx="8">
                  <c:v>320000</c:v>
                </c:pt>
                <c:pt idx="9">
                  <c:v>360000</c:v>
                </c:pt>
                <c:pt idx="10">
                  <c:v>400000</c:v>
                </c:pt>
                <c:pt idx="11">
                  <c:v>440000</c:v>
                </c:pt>
                <c:pt idx="12">
                  <c:v>480000</c:v>
                </c:pt>
              </c:numCache>
            </c:numRef>
          </c:cat>
          <c:val>
            <c:numRef>
              <c:f>'Break even analyse op schatting'!$C$13:$C$25</c:f>
              <c:numCache>
                <c:formatCode>_("€"* #,##0.00_);_("€"* \(#,##0.00\);_("€"* "-"??_);_(@_)</c:formatCode>
                <c:ptCount val="13"/>
                <c:pt idx="0">
                  <c:v>31343.04856451707</c:v>
                </c:pt>
                <c:pt idx="1">
                  <c:v>31343.04856451707</c:v>
                </c:pt>
                <c:pt idx="2">
                  <c:v>31343.04856451707</c:v>
                </c:pt>
                <c:pt idx="3">
                  <c:v>31343.04856451707</c:v>
                </c:pt>
                <c:pt idx="4">
                  <c:v>31343.04856451707</c:v>
                </c:pt>
                <c:pt idx="5">
                  <c:v>31343.04856451707</c:v>
                </c:pt>
                <c:pt idx="6">
                  <c:v>31343.04856451707</c:v>
                </c:pt>
                <c:pt idx="7">
                  <c:v>31343.04856451707</c:v>
                </c:pt>
                <c:pt idx="8">
                  <c:v>31343.04856451707</c:v>
                </c:pt>
                <c:pt idx="9">
                  <c:v>31343.04856451707</c:v>
                </c:pt>
                <c:pt idx="10">
                  <c:v>31343.04856451707</c:v>
                </c:pt>
                <c:pt idx="11">
                  <c:v>31343.04856451707</c:v>
                </c:pt>
                <c:pt idx="12">
                  <c:v>31343.04856451707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962656"/>
        <c:axId val="-30963744"/>
      </c:lineChart>
      <c:catAx>
        <c:axId val="-3096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963744"/>
        <c:crosses val="autoZero"/>
        <c:auto val="1"/>
        <c:lblAlgn val="ctr"/>
        <c:lblOffset val="100"/>
        <c:noMultiLvlLbl val="0"/>
      </c:catAx>
      <c:valAx>
        <c:axId val="-309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96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even punt op schatting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 even analyse'!$B$12</c:f>
              <c:strCache>
                <c:ptCount val="1"/>
                <c:pt idx="0">
                  <c:v>Inkomsten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'Break even analyse'!$A$13:$A$25</c:f>
              <c:numCache>
                <c:formatCode>General</c:formatCode>
                <c:ptCount val="13"/>
                <c:pt idx="0">
                  <c:v>0</c:v>
                </c:pt>
                <c:pt idx="1">
                  <c:v>40000</c:v>
                </c:pt>
                <c:pt idx="2">
                  <c:v>80000</c:v>
                </c:pt>
                <c:pt idx="3">
                  <c:v>120000</c:v>
                </c:pt>
                <c:pt idx="4">
                  <c:v>160000</c:v>
                </c:pt>
                <c:pt idx="5">
                  <c:v>200000</c:v>
                </c:pt>
                <c:pt idx="6">
                  <c:v>240000</c:v>
                </c:pt>
                <c:pt idx="7">
                  <c:v>280000</c:v>
                </c:pt>
                <c:pt idx="8">
                  <c:v>320000</c:v>
                </c:pt>
                <c:pt idx="9">
                  <c:v>360000</c:v>
                </c:pt>
                <c:pt idx="10">
                  <c:v>400000</c:v>
                </c:pt>
                <c:pt idx="11">
                  <c:v>440000</c:v>
                </c:pt>
                <c:pt idx="12">
                  <c:v>480000</c:v>
                </c:pt>
              </c:numCache>
            </c:numRef>
          </c:cat>
          <c:val>
            <c:numRef>
              <c:f>'Break even analyse'!$B$13:$B$25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18581.225683967048</c:v>
                </c:pt>
                <c:pt idx="2">
                  <c:v>37162.451367934096</c:v>
                </c:pt>
                <c:pt idx="3">
                  <c:v>55743.677051901148</c:v>
                </c:pt>
                <c:pt idx="4">
                  <c:v>74324.902735868192</c:v>
                </c:pt>
                <c:pt idx="5">
                  <c:v>92906.128419835237</c:v>
                </c:pt>
                <c:pt idx="6">
                  <c:v>111487.3541038023</c:v>
                </c:pt>
                <c:pt idx="7">
                  <c:v>130068.57978776934</c:v>
                </c:pt>
                <c:pt idx="8">
                  <c:v>148649.80547173638</c:v>
                </c:pt>
                <c:pt idx="9">
                  <c:v>167231.03115570344</c:v>
                </c:pt>
                <c:pt idx="10">
                  <c:v>185812.25683967047</c:v>
                </c:pt>
                <c:pt idx="11">
                  <c:v>204393.48252363753</c:v>
                </c:pt>
                <c:pt idx="12">
                  <c:v>222974.70820760459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'Break even analyse'!$C$12</c:f>
              <c:strCache>
                <c:ptCount val="1"/>
                <c:pt idx="0">
                  <c:v>Uitgaven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'Break even analyse'!$A$13:$A$25</c:f>
              <c:numCache>
                <c:formatCode>General</c:formatCode>
                <c:ptCount val="13"/>
                <c:pt idx="0">
                  <c:v>0</c:v>
                </c:pt>
                <c:pt idx="1">
                  <c:v>40000</c:v>
                </c:pt>
                <c:pt idx="2">
                  <c:v>80000</c:v>
                </c:pt>
                <c:pt idx="3">
                  <c:v>120000</c:v>
                </c:pt>
                <c:pt idx="4">
                  <c:v>160000</c:v>
                </c:pt>
                <c:pt idx="5">
                  <c:v>200000</c:v>
                </c:pt>
                <c:pt idx="6">
                  <c:v>240000</c:v>
                </c:pt>
                <c:pt idx="7">
                  <c:v>280000</c:v>
                </c:pt>
                <c:pt idx="8">
                  <c:v>320000</c:v>
                </c:pt>
                <c:pt idx="9">
                  <c:v>360000</c:v>
                </c:pt>
                <c:pt idx="10">
                  <c:v>400000</c:v>
                </c:pt>
                <c:pt idx="11">
                  <c:v>440000</c:v>
                </c:pt>
                <c:pt idx="12">
                  <c:v>480000</c:v>
                </c:pt>
              </c:numCache>
            </c:numRef>
          </c:cat>
          <c:val>
            <c:numRef>
              <c:f>'Break even analyse'!$C$13:$C$25</c:f>
              <c:numCache>
                <c:formatCode>_("€"* #,##0.00_);_("€"* \(#,##0.00\);_("€"* "-"??_);_(@_)</c:formatCode>
                <c:ptCount val="13"/>
                <c:pt idx="0">
                  <c:v>47621.25539981186</c:v>
                </c:pt>
                <c:pt idx="1">
                  <c:v>47621.25539981186</c:v>
                </c:pt>
                <c:pt idx="2">
                  <c:v>47621.25539981186</c:v>
                </c:pt>
                <c:pt idx="3">
                  <c:v>47621.25539981186</c:v>
                </c:pt>
                <c:pt idx="4">
                  <c:v>47621.25539981186</c:v>
                </c:pt>
                <c:pt idx="5">
                  <c:v>47621.25539981186</c:v>
                </c:pt>
                <c:pt idx="6">
                  <c:v>47621.25539981186</c:v>
                </c:pt>
                <c:pt idx="7">
                  <c:v>47621.25539981186</c:v>
                </c:pt>
                <c:pt idx="8">
                  <c:v>47621.25539981186</c:v>
                </c:pt>
                <c:pt idx="9">
                  <c:v>47621.25539981186</c:v>
                </c:pt>
                <c:pt idx="10">
                  <c:v>47621.25539981186</c:v>
                </c:pt>
                <c:pt idx="11">
                  <c:v>47621.25539981186</c:v>
                </c:pt>
                <c:pt idx="12">
                  <c:v>47621.25539981186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9090480"/>
        <c:axId val="-346264112"/>
      </c:lineChart>
      <c:catAx>
        <c:axId val="-10909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6264112"/>
        <c:crosses val="autoZero"/>
        <c:auto val="1"/>
        <c:lblAlgn val="ctr"/>
        <c:lblOffset val="100"/>
        <c:noMultiLvlLbl val="0"/>
      </c:catAx>
      <c:valAx>
        <c:axId val="-3462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09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10</xdr:row>
      <xdr:rowOff>133350</xdr:rowOff>
    </xdr:from>
    <xdr:to>
      <xdr:col>9</xdr:col>
      <xdr:colOff>152400</xdr:colOff>
      <xdr:row>25</xdr:row>
      <xdr:rowOff>19050</xdr:rowOff>
    </xdr:to>
    <xdr:graphicFrame macro="">
      <xdr:nvGraphicFramePr>
        <xdr:cNvPr id="8" name="Grafiek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10</xdr:row>
      <xdr:rowOff>133350</xdr:rowOff>
    </xdr:from>
    <xdr:to>
      <xdr:col>9</xdr:col>
      <xdr:colOff>152400</xdr:colOff>
      <xdr:row>25</xdr:row>
      <xdr:rowOff>19050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1" displayName="Tabel1" ref="A1:F12" totalsRowShown="0">
  <autoFilter ref="A1:F12"/>
  <tableColumns count="6">
    <tableColumn id="1" name="onderwerp"/>
    <tableColumn id="2" name="Sander" dataDxfId="4"/>
    <tableColumn id="3" name="Arthur" dataDxfId="3"/>
    <tableColumn id="4" name="Beau" dataDxfId="2"/>
    <tableColumn id="5" name="Davy" dataDxfId="1"/>
    <tableColumn id="6" name="Totaa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B19" sqref="B19:E19"/>
    </sheetView>
  </sheetViews>
  <sheetFormatPr defaultRowHeight="15" x14ac:dyDescent="0.25"/>
  <cols>
    <col min="1" max="1" width="26" bestFit="1" customWidth="1"/>
    <col min="2" max="4" width="19.140625" bestFit="1" customWidth="1"/>
    <col min="5" max="5" width="19.42578125" bestFit="1" customWidth="1"/>
    <col min="6" max="6" width="12.28515625" bestFit="1" customWidth="1"/>
    <col min="7" max="7" width="11.28515625" customWidth="1"/>
    <col min="8" max="8" width="20.28515625" customWidth="1"/>
    <col min="10" max="11" width="11.28515625" bestFit="1" customWidth="1"/>
    <col min="12" max="12" width="17.28515625" bestFit="1" customWidth="1"/>
    <col min="15" max="15" width="19.28515625" bestFit="1" customWidth="1"/>
    <col min="16" max="16" width="12.7109375" bestFit="1" customWidth="1"/>
    <col min="17" max="17" width="11.5703125" bestFit="1" customWidth="1"/>
  </cols>
  <sheetData>
    <row r="1" spans="1:18" ht="15.75" x14ac:dyDescent="0.25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G1" s="88" t="s">
        <v>18</v>
      </c>
      <c r="H1" s="88"/>
      <c r="I1" s="88"/>
      <c r="O1" s="14"/>
      <c r="Q1" s="19"/>
    </row>
    <row r="2" spans="1:18" x14ac:dyDescent="0.25">
      <c r="A2" s="3" t="s">
        <v>1</v>
      </c>
      <c r="B2" s="4">
        <v>0.13070000000000001</v>
      </c>
      <c r="C2" s="4">
        <v>0.13070000000000001</v>
      </c>
      <c r="D2" s="4">
        <v>0.13070000000000001</v>
      </c>
      <c r="E2" s="4">
        <v>0.13070000000000001</v>
      </c>
      <c r="G2" s="12">
        <v>0</v>
      </c>
      <c r="H2" s="12">
        <v>7420</v>
      </c>
      <c r="I2" s="16">
        <v>0</v>
      </c>
      <c r="O2" s="20"/>
      <c r="R2" s="14"/>
    </row>
    <row r="3" spans="1:18" x14ac:dyDescent="0.25">
      <c r="A3" s="5" t="s">
        <v>19</v>
      </c>
      <c r="B3" s="6">
        <v>22</v>
      </c>
      <c r="C3" s="6">
        <v>22</v>
      </c>
      <c r="D3" s="6">
        <v>22</v>
      </c>
      <c r="E3" s="6">
        <v>22</v>
      </c>
      <c r="G3" s="14">
        <f>H2+0.01</f>
        <v>7420.01</v>
      </c>
      <c r="H3" s="14">
        <v>9150</v>
      </c>
      <c r="I3" s="17">
        <v>0.19170000000000001</v>
      </c>
      <c r="O3" s="20"/>
      <c r="Q3" s="14"/>
    </row>
    <row r="4" spans="1:18" x14ac:dyDescent="0.25">
      <c r="A4" s="3" t="s">
        <v>2</v>
      </c>
      <c r="B4" s="7">
        <v>7.5</v>
      </c>
      <c r="C4" s="7">
        <v>7.5</v>
      </c>
      <c r="D4" s="7">
        <v>7.5</v>
      </c>
      <c r="E4" s="7">
        <v>7.5</v>
      </c>
      <c r="G4" s="14">
        <f t="shared" ref="G4:G11" si="0">H3+0.01</f>
        <v>9150.01</v>
      </c>
      <c r="H4" s="18">
        <v>11305</v>
      </c>
      <c r="I4" s="17">
        <v>0.21199999999999999</v>
      </c>
      <c r="O4" s="20"/>
    </row>
    <row r="5" spans="1:18" x14ac:dyDescent="0.25">
      <c r="A5" s="5" t="s">
        <v>3</v>
      </c>
      <c r="B5" s="8">
        <v>50</v>
      </c>
      <c r="C5" s="8">
        <v>80</v>
      </c>
      <c r="D5" s="8">
        <v>50</v>
      </c>
      <c r="E5" s="8">
        <v>80</v>
      </c>
      <c r="G5" s="14">
        <f t="shared" si="0"/>
        <v>11305.01</v>
      </c>
      <c r="H5" s="15">
        <v>13405</v>
      </c>
      <c r="I5" s="17">
        <v>0.26250000000000001</v>
      </c>
      <c r="O5" s="21"/>
    </row>
    <row r="6" spans="1:18" x14ac:dyDescent="0.25">
      <c r="A6" s="3" t="s">
        <v>4</v>
      </c>
      <c r="B6" s="9">
        <f>B4*B3*B5</f>
        <v>8250</v>
      </c>
      <c r="C6" s="9">
        <f>C4*C3*C5</f>
        <v>13200</v>
      </c>
      <c r="D6" s="9">
        <f>D4*D3*D5</f>
        <v>8250</v>
      </c>
      <c r="E6" s="9">
        <f>E4*E3*E5</f>
        <v>13200</v>
      </c>
      <c r="G6" s="14">
        <f t="shared" si="0"/>
        <v>13405.01</v>
      </c>
      <c r="H6" s="14">
        <v>15625</v>
      </c>
      <c r="I6" s="17">
        <v>0.313</v>
      </c>
      <c r="O6" s="20"/>
      <c r="Q6" s="22"/>
    </row>
    <row r="7" spans="1:18" x14ac:dyDescent="0.25">
      <c r="A7" s="5" t="s">
        <v>5</v>
      </c>
      <c r="B7" s="10">
        <f>B6*12</f>
        <v>99000</v>
      </c>
      <c r="C7" s="10">
        <f>C6*12</f>
        <v>158400</v>
      </c>
      <c r="D7" s="10">
        <f>D6*12</f>
        <v>99000</v>
      </c>
      <c r="E7" s="10">
        <f>E6*12</f>
        <v>158400</v>
      </c>
      <c r="G7" s="14">
        <f t="shared" si="0"/>
        <v>15625.01</v>
      </c>
      <c r="H7" s="14">
        <v>17840</v>
      </c>
      <c r="I7" s="17">
        <v>0.34329999999999999</v>
      </c>
      <c r="K7" s="14"/>
      <c r="O7" s="14"/>
    </row>
    <row r="8" spans="1:18" x14ac:dyDescent="0.25">
      <c r="A8" s="3"/>
      <c r="B8" s="7"/>
      <c r="C8" s="7"/>
      <c r="D8" s="7"/>
      <c r="E8" s="7"/>
      <c r="G8" s="14">
        <f t="shared" si="0"/>
        <v>17840.009999999998</v>
      </c>
      <c r="H8" s="14">
        <v>22130</v>
      </c>
      <c r="I8" s="17">
        <v>0.3634</v>
      </c>
    </row>
    <row r="9" spans="1:18" x14ac:dyDescent="0.25">
      <c r="A9" s="5" t="s">
        <v>6</v>
      </c>
      <c r="B9" s="11">
        <f>(B5*B3*B4)*108%*B2</f>
        <v>1164.537</v>
      </c>
      <c r="C9" s="11">
        <f>(C5*C3*C4)*108%*C2</f>
        <v>1863.2592000000004</v>
      </c>
      <c r="D9" s="11">
        <f>(D5*D3*D4)*108%*D2</f>
        <v>1164.537</v>
      </c>
      <c r="E9" s="11">
        <f>(E5*E3*E4)*108%*E2</f>
        <v>1863.2592000000004</v>
      </c>
      <c r="G9" s="14">
        <f t="shared" si="0"/>
        <v>22130.01</v>
      </c>
      <c r="H9" s="14">
        <v>24275</v>
      </c>
      <c r="I9" s="17">
        <v>0.39369999999999999</v>
      </c>
      <c r="P9" s="23"/>
    </row>
    <row r="10" spans="1:18" x14ac:dyDescent="0.25">
      <c r="A10" s="3" t="s">
        <v>7</v>
      </c>
      <c r="B10" s="9">
        <f>B6-B9</f>
        <v>7085.4629999999997</v>
      </c>
      <c r="C10" s="9">
        <f>C6-C9</f>
        <v>11336.7408</v>
      </c>
      <c r="D10" s="9">
        <f>D6-D9</f>
        <v>7085.4629999999997</v>
      </c>
      <c r="E10" s="9">
        <f>E6-E9</f>
        <v>11336.7408</v>
      </c>
      <c r="G10" s="14">
        <f t="shared" si="0"/>
        <v>24275.01</v>
      </c>
      <c r="H10" s="14">
        <v>32870</v>
      </c>
      <c r="I10" s="17">
        <v>0.4239</v>
      </c>
      <c r="P10" s="23"/>
    </row>
    <row r="11" spans="1:18" x14ac:dyDescent="0.25">
      <c r="A11" s="5" t="s">
        <v>8</v>
      </c>
      <c r="B11" s="14">
        <f>IF(B7&lt;=$H$2,0,IF(B7&lt;=$H$3,(B7-$G$3)*$I$3,IF(B7&lt;=$H$4,($H$3-$G$3)*$I$3+(B7-$G$4)*$I$4,IF(B7&lt;=$H$5,($H$3-$G$3)*$I$3+($H$4-$G$4)*$I$4+(B7-$G$5)*$I$5,IF(B7&lt;=$H$6,($H$3-$G$3)*$I$3+($H$4-$G$4)*$I$4+($H$5-$G$5)*$I$5+(B7-$G$6)*$I$6,IF(B7&lt;=$H$7,($H$3-$G$3)*$I$3+($H$4-$G$4)*$I$4+($H$5-$G$5)*$I$5+($H$6-$G$6)*$I$6+(B7-$G$7)*$I$7,IF(B7&lt;=$H$8,($H$3-$G$3)*$I$3+($H$4-$G$4)*$I$4+($H$5-$G$5)*$I$5+($H$6-$G$6)*$I$6+($H$7-$G$7)*$I$7+(B7-$G$8)*$I$8,IF(B7&lt;=$H$9,($H$3-$G$3)*$I$3+($H$4-$G$4)*$I$4+($H$5-$G$5)*$I$5+($H$6-$G$6)*$I$6+($H$7-$G$7)*$I$7+($H$8-$G$8)*$I$8+(B7-$G$9)*$I$9,IF(B7&lt;=$H$10,($H$3-$G$3)*$I$3+($H$4-$G$4)*$I$4+($H$5-$G$5)*$I$5+($H$6-$G$6)*$I$6+($H$7-$G$7)*$I$7+($H$8-$G$8)*$I$8+($H$9-$G$9)*$I$9+(B7-$G$10)*$I$10,IF(B7&lt;=$H$11,($H$3-$G$3)*$I$3+($H$4-$G$4)*$I$4+($H$5-$G$5)*$I$5+($H$6-$G$6)*$I$6+($H$7-$G$7)*$I$7+($H$8-$G$8)*$I$8+($H$9-$G$9)*$I$9+($H$10-$G$10)*$I$10+(B7-$G$11)*$I$11,($H$3-$G$3)*$I$3+($H$4-$G$4)*$I$4+($H$5-$G$5)*$I$5+($H$6-$G$6)*$I$6+($H$7-$G$7)*$I$7+($H$8-$G$8)*$I$8+($H$9-$G$9)*$I$9+($H$10-$G$10)*$I$10+($H$11-$G$11)*$I$11+(B7-$G$12)*$I$12))))))))))/12</f>
        <v>3630.856780916667</v>
      </c>
      <c r="C11" s="14">
        <f>IF(C7&lt;=$H$2,0,IF(C7&lt;=$H$3,(C7-$G$3)*$I$3,IF(C7&lt;=$H$4,($H$3-$G$3)*$I$3+(C7-$G$4)*$I$4,IF(C7&lt;=$H$5,($H$3-$G$3)*$I$3+($H$4-$G$4)*$I$4+(C7-$G$5)*$I$5,IF(C7&lt;=$H$6,($H$3-$G$3)*$I$3+($H$4-$G$4)*$I$4+($H$5-$G$5)*$I$5+(C7-$G$6)*$I$6,IF(C7&lt;=$H$7,($H$3-$G$3)*$I$3+($H$4-$G$4)*$I$4+($H$5-$G$5)*$I$5+($H$6-$G$6)*$I$6+(C7-$G$7)*$I$7,IF(C7&lt;=$H$8,($H$3-$G$3)*$I$3+($H$4-$G$4)*$I$4+($H$5-$G$5)*$I$5+($H$6-$G$6)*$I$6+($H$7-$G$7)*$I$7+(C7-$G$8)*$I$8,IF(C7&lt;=$H$9,($H$3-$G$3)*$I$3+($H$4-$G$4)*$I$4+($H$5-$G$5)*$I$5+($H$6-$G$6)*$I$6+($H$7-$G$7)*$I$7+($H$8-$G$8)*$I$8+(C7-$G$9)*$I$9,IF(C7&lt;=$H$10,($H$3-$G$3)*$I$3+($H$4-$G$4)*$I$4+($H$5-$G$5)*$I$5+($H$6-$G$6)*$I$6+($H$7-$G$7)*$I$7+($H$8-$G$8)*$I$8+($H$9-$G$9)*$I$9+(C7-$G$10)*$I$10,IF(C7&lt;=$H$11,($H$3-$G$3)*$I$3+($H$4-$G$4)*$I$4+($H$5-$G$5)*$I$5+($H$6-$G$6)*$I$6+($H$7-$G$7)*$I$7+($H$8-$G$8)*$I$8+($H$9-$G$9)*$I$9+($H$10-$G$10)*$I$10+(C7-$G$11)*$I$11,($H$3-$G$3)*$I$3+($H$4-$G$4)*$I$4+($H$5-$G$5)*$I$5+($H$6-$G$6)*$I$6+($H$7-$G$7)*$I$7+($H$8-$G$8)*$I$8+($H$9-$G$9)*$I$9+($H$10-$G$10)*$I$10+($H$11-$G$11)*$I$11+(C7-$G$12)*$I$12))))))))))/12</f>
        <v>6279.106780916667</v>
      </c>
      <c r="D11" s="14">
        <f t="shared" ref="D11" si="1">IF(D7&lt;=$H$2,0,IF(D7&lt;=$H$3,(D7-$G$3)*$I$3,IF(D7&lt;=$H$4,($H$3-$G$3)*$I$3+(D7-$G$4)*$I$4,IF(D7&lt;=$H$5,($H$3-$G$3)*$I$3+($H$4-$G$4)*$I$4+(D7-$G$5)*$I$5,IF(D7&lt;=$H$6,($H$3-$G$3)*$I$3+($H$4-$G$4)*$I$4+($H$5-$G$5)*$I$5+(D7-$G$6)*$I$6,IF(D7&lt;=$H$7,($H$3-$G$3)*$I$3+($H$4-$G$4)*$I$4+($H$5-$G$5)*$I$5+($H$6-$G$6)*$I$6+(D7-$G$7)*$I$7,IF(D7&lt;=$H$8,($H$3-$G$3)*$I$3+($H$4-$G$4)*$I$4+($H$5-$G$5)*$I$5+($H$6-$G$6)*$I$6+($H$7-$G$7)*$I$7+(D7-$G$8)*$I$8,IF(D7&lt;=$H$9,($H$3-$G$3)*$I$3+($H$4-$G$4)*$I$4+($H$5-$G$5)*$I$5+($H$6-$G$6)*$I$6+($H$7-$G$7)*$I$7+($H$8-$G$8)*$I$8+(D7-$G$9)*$I$9,IF(D7&lt;=$H$10,($H$3-$G$3)*$I$3+($H$4-$G$4)*$I$4+($H$5-$G$5)*$I$5+($H$6-$G$6)*$I$6+($H$7-$G$7)*$I$7+($H$8-$G$8)*$I$8+($H$9-$G$9)*$I$9+(D7-$G$10)*$I$10,IF(D7&lt;=$H$11,($H$3-$G$3)*$I$3+($H$4-$G$4)*$I$4+($H$5-$G$5)*$I$5+($H$6-$G$6)*$I$6+($H$7-$G$7)*$I$7+($H$8-$G$8)*$I$8+($H$9-$G$9)*$I$9+($H$10-$G$10)*$I$10+(D7-$G$11)*$I$11,($H$3-$G$3)*$I$3+($H$4-$G$4)*$I$4+($H$5-$G$5)*$I$5+($H$6-$G$6)*$I$6+($H$7-$G$7)*$I$7+($H$8-$G$8)*$I$8+($H$9-$G$9)*$I$9+($H$10-$G$10)*$I$10+($H$11-$G$11)*$I$11+(D7-$G$12)*$I$12))))))))))/12</f>
        <v>3630.856780916667</v>
      </c>
      <c r="E11" s="14">
        <f>IF(E7&lt;=$H$2,0,IF(E7&lt;=$H$3,(E7-$G$3)*$I$3,IF(E7&lt;=$H$4,($H$3-$G$3)*$I$3+(E7-$G$4)*$I$4,IF(E7&lt;=$H$5,($H$3-$G$3)*$I$3+($H$4-$G$4)*$I$4+(E7-$G$5)*$I$5,IF(E7&lt;=$H$6,($H$3-$G$3)*$I$3+($H$4-$G$4)*$I$4+($H$5-$G$5)*$I$5+(E7-$G$6)*$I$6,IF(E7&lt;=$H$7,($H$3-$G$3)*$I$3+($H$4-$G$4)*$I$4+($H$5-$G$5)*$I$5+($H$6-$G$6)*$I$6+(E7-$G$7)*$I$7,IF(E7&lt;=$H$8,($H$3-$G$3)*$I$3+($H$4-$G$4)*$I$4+($H$5-$G$5)*$I$5+($H$6-$G$6)*$I$6+($H$7-$G$7)*$I$7+(E7-$G$8)*$I$8,IF(E7&lt;=$H$9,($H$3-$G$3)*$I$3+($H$4-$G$4)*$I$4+($H$5-$G$5)*$I$5+($H$6-$G$6)*$I$6+($H$7-$G$7)*$I$7+($H$8-$G$8)*$I$8+(E7-$G$9)*$I$9,IF(E7&lt;=$H$10,($H$3-$G$3)*$I$3+($H$4-$G$4)*$I$4+($H$5-$G$5)*$I$5+($H$6-$G$6)*$I$6+($H$7-$G$7)*$I$7+($H$8-$G$8)*$I$8+($H$9-$G$9)*$I$9+(E7-$G$10)*$I$10,IF(E7&lt;=$H$11,($H$3-$G$3)*$I$3+($H$4-$G$4)*$I$4+($H$5-$G$5)*$I$5+($H$6-$G$6)*$I$6+($H$7-$G$7)*$I$7+($H$8-$G$8)*$I$8+($H$9-$G$9)*$I$9+($H$10-$G$10)*$I$10+(E7-$G$11)*$I$11,($H$3-$G$3)*$I$3+($H$4-$G$4)*$I$4+($H$5-$G$5)*$I$5+($H$6-$G$6)*$I$6+($H$7-$G$7)*$I$7+($H$8-$G$8)*$I$8+($H$9-$G$9)*$I$9+($H$10-$G$10)*$I$10+($H$11-$G$11)*$I$11+(E7-$G$12)*$I$12))))))))))/12</f>
        <v>6279.106780916667</v>
      </c>
      <c r="F11" s="13"/>
      <c r="G11" s="14">
        <f t="shared" si="0"/>
        <v>32870.01</v>
      </c>
      <c r="H11" s="14">
        <v>43615</v>
      </c>
      <c r="I11" s="17">
        <v>0.47439999999999999</v>
      </c>
    </row>
    <row r="12" spans="1:18" x14ac:dyDescent="0.25">
      <c r="A12" s="3" t="s">
        <v>9</v>
      </c>
      <c r="B12" s="9">
        <f>B13*12</f>
        <v>41455.274628999992</v>
      </c>
      <c r="C12" s="9">
        <f>C13*12</f>
        <v>60691.60822899999</v>
      </c>
      <c r="D12" s="9">
        <f>D13*12</f>
        <v>41455.274628999992</v>
      </c>
      <c r="E12" s="9">
        <f>E13*12</f>
        <v>60691.60822899999</v>
      </c>
      <c r="G12" s="14">
        <f>H11+0.01</f>
        <v>43615.01</v>
      </c>
      <c r="H12" s="14"/>
      <c r="I12" s="17">
        <v>0.53500000000000003</v>
      </c>
    </row>
    <row r="13" spans="1:18" x14ac:dyDescent="0.25">
      <c r="A13" s="5" t="s">
        <v>10</v>
      </c>
      <c r="B13" s="10">
        <f>B10-B11</f>
        <v>3454.6062190833327</v>
      </c>
      <c r="C13" s="10">
        <f>C10-C11</f>
        <v>5057.6340190833325</v>
      </c>
      <c r="D13" s="10">
        <f>D10-D11</f>
        <v>3454.6062190833327</v>
      </c>
      <c r="E13" s="10">
        <f>E10-E11</f>
        <v>5057.6340190833325</v>
      </c>
    </row>
    <row r="14" spans="1:18" x14ac:dyDescent="0.25">
      <c r="A14" s="3" t="s">
        <v>11</v>
      </c>
      <c r="B14" s="9">
        <f>B13/B3/B4</f>
        <v>20.937007388383837</v>
      </c>
      <c r="C14" s="9">
        <f>C13/C3/C4</f>
        <v>30.652327388383831</v>
      </c>
      <c r="D14" s="9">
        <f>D13/D3/D4</f>
        <v>20.937007388383837</v>
      </c>
      <c r="E14" s="9">
        <f>E13/E3/E4</f>
        <v>30.652327388383831</v>
      </c>
    </row>
    <row r="15" spans="1:18" x14ac:dyDescent="0.25">
      <c r="A15" s="5" t="s">
        <v>12</v>
      </c>
      <c r="B15" s="10">
        <f>B6*138.38%</f>
        <v>11416.349999999999</v>
      </c>
      <c r="C15" s="10">
        <f>C6*138.38%</f>
        <v>18266.16</v>
      </c>
      <c r="D15" s="10">
        <f>D6*138.38%</f>
        <v>11416.349999999999</v>
      </c>
      <c r="E15" s="10">
        <f>E6*138.38%</f>
        <v>18266.16</v>
      </c>
    </row>
    <row r="16" spans="1:18" x14ac:dyDescent="0.25">
      <c r="A16" s="3" t="s">
        <v>13</v>
      </c>
      <c r="B16" s="9">
        <f>B15*12</f>
        <v>136996.19999999998</v>
      </c>
      <c r="C16" s="9">
        <f>C15*12</f>
        <v>219193.91999999998</v>
      </c>
      <c r="D16" s="9">
        <f>D15*12</f>
        <v>136996.19999999998</v>
      </c>
      <c r="E16" s="9">
        <f>E15*12</f>
        <v>219193.91999999998</v>
      </c>
      <c r="F16" s="23"/>
    </row>
    <row r="17" spans="1:5" x14ac:dyDescent="0.25">
      <c r="A17" s="78" t="s">
        <v>138</v>
      </c>
      <c r="B17" s="14">
        <f>B16/(B4*B3*12)</f>
        <v>69.19</v>
      </c>
      <c r="C17" s="14">
        <f t="shared" ref="C17:E17" si="2">C16/(C4*C3*12)</f>
        <v>110.70399999999999</v>
      </c>
      <c r="D17" s="14">
        <f t="shared" si="2"/>
        <v>69.19</v>
      </c>
      <c r="E17" s="14">
        <f t="shared" si="2"/>
        <v>110.70399999999999</v>
      </c>
    </row>
    <row r="18" spans="1:5" x14ac:dyDescent="0.25">
      <c r="B18" t="s">
        <v>39</v>
      </c>
      <c r="C18" t="s">
        <v>195</v>
      </c>
      <c r="D18" t="s">
        <v>38</v>
      </c>
      <c r="E18" t="s">
        <v>37</v>
      </c>
    </row>
  </sheetData>
  <mergeCells count="1">
    <mergeCell ref="G1:I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0" workbookViewId="0">
      <selection activeCell="D3" sqref="D3"/>
    </sheetView>
  </sheetViews>
  <sheetFormatPr defaultRowHeight="15" x14ac:dyDescent="0.25"/>
  <cols>
    <col min="1" max="1" width="19.5703125" bestFit="1" customWidth="1"/>
    <col min="2" max="2" width="10.85546875" bestFit="1" customWidth="1"/>
    <col min="3" max="3" width="17" bestFit="1" customWidth="1"/>
    <col min="5" max="5" width="20.5703125" bestFit="1" customWidth="1"/>
    <col min="6" max="6" width="14" bestFit="1" customWidth="1"/>
    <col min="7" max="7" width="10.5703125" bestFit="1" customWidth="1"/>
    <col min="8" max="8" width="19" bestFit="1" customWidth="1"/>
    <col min="12" max="12" width="20" bestFit="1" customWidth="1"/>
  </cols>
  <sheetData>
    <row r="1" spans="1:13" ht="24" thickBot="1" x14ac:dyDescent="0.4">
      <c r="A1" s="89" t="s">
        <v>67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</row>
    <row r="2" spans="1:13" x14ac:dyDescent="0.25">
      <c r="A2" s="31"/>
      <c r="B2" s="32" t="s">
        <v>68</v>
      </c>
      <c r="C2" s="32" t="s">
        <v>69</v>
      </c>
      <c r="D2" s="33"/>
      <c r="E2" s="33"/>
      <c r="F2" s="33" t="s">
        <v>70</v>
      </c>
      <c r="G2" s="33"/>
      <c r="H2" s="33" t="s">
        <v>71</v>
      </c>
      <c r="I2" s="33"/>
      <c r="J2" s="33" t="s">
        <v>72</v>
      </c>
      <c r="K2" s="33"/>
      <c r="L2" s="33" t="s">
        <v>73</v>
      </c>
      <c r="M2" s="34"/>
    </row>
    <row r="3" spans="1:13" x14ac:dyDescent="0.25">
      <c r="A3" s="35" t="s">
        <v>67</v>
      </c>
      <c r="B3" s="36">
        <v>4.88</v>
      </c>
      <c r="C3" s="37" t="s">
        <v>74</v>
      </c>
      <c r="D3" s="37">
        <v>10</v>
      </c>
      <c r="E3" s="37" t="s">
        <v>83</v>
      </c>
      <c r="F3" s="37">
        <f>D3*7</f>
        <v>70</v>
      </c>
      <c r="G3" s="37" t="s">
        <v>79</v>
      </c>
      <c r="H3" s="37">
        <f>F3*365/7</f>
        <v>3650</v>
      </c>
      <c r="I3" s="37" t="s">
        <v>75</v>
      </c>
      <c r="J3" s="37">
        <f>H3/1000</f>
        <v>3.65</v>
      </c>
      <c r="K3" s="37" t="s">
        <v>74</v>
      </c>
      <c r="L3" s="38">
        <f>(J4+J3)*B3+(J3+J4)*B4</f>
        <v>17.857624999999999</v>
      </c>
      <c r="M3" s="39"/>
    </row>
    <row r="4" spans="1:13" x14ac:dyDescent="0.25">
      <c r="A4" s="35" t="s">
        <v>76</v>
      </c>
      <c r="B4" s="40">
        <v>1.2500000000000001E-2</v>
      </c>
      <c r="C4" s="37" t="s">
        <v>74</v>
      </c>
      <c r="D4" s="37"/>
      <c r="E4" s="37"/>
      <c r="F4" s="37"/>
      <c r="G4" s="37"/>
      <c r="H4" s="37"/>
      <c r="I4" s="37"/>
      <c r="J4" s="37"/>
      <c r="K4" s="37"/>
      <c r="L4" s="37"/>
      <c r="M4" s="39"/>
    </row>
    <row r="5" spans="1:13" x14ac:dyDescent="0.25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9"/>
    </row>
    <row r="6" spans="1:13" x14ac:dyDescent="0.25">
      <c r="A6" s="35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9"/>
    </row>
    <row r="7" spans="1:13" ht="15.75" thickBot="1" x14ac:dyDescent="0.3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1:13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24" thickBot="1" x14ac:dyDescent="0.4">
      <c r="A9" s="90" t="s">
        <v>77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</row>
    <row r="10" spans="1:13" ht="23.25" x14ac:dyDescent="0.35">
      <c r="A10" s="45"/>
      <c r="B10" s="46" t="s">
        <v>68</v>
      </c>
      <c r="C10" s="47" t="s">
        <v>69</v>
      </c>
      <c r="D10" s="48"/>
      <c r="E10" s="48"/>
      <c r="F10" s="49"/>
      <c r="G10" s="48"/>
      <c r="H10" s="48"/>
      <c r="I10" s="48"/>
      <c r="J10" s="48"/>
      <c r="K10" s="48"/>
      <c r="L10" s="48"/>
      <c r="M10" s="50"/>
    </row>
    <row r="11" spans="1:13" x14ac:dyDescent="0.25">
      <c r="A11" s="51" t="s">
        <v>77</v>
      </c>
      <c r="B11" s="52">
        <v>0.2049</v>
      </c>
      <c r="C11" s="53" t="s">
        <v>78</v>
      </c>
      <c r="D11" s="53"/>
      <c r="E11" s="53"/>
      <c r="F11" s="54"/>
      <c r="G11" s="53"/>
      <c r="H11" s="53"/>
      <c r="I11" s="53"/>
      <c r="J11" s="53"/>
      <c r="K11" s="53"/>
      <c r="L11" s="53"/>
      <c r="M11" s="55"/>
    </row>
    <row r="12" spans="1:13" x14ac:dyDescent="0.25">
      <c r="A12" s="51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5"/>
    </row>
    <row r="13" spans="1:13" x14ac:dyDescent="0.25">
      <c r="A13" s="51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5"/>
    </row>
    <row r="14" spans="1:13" ht="15.75" thickBo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</row>
    <row r="16" spans="1:13" ht="24" thickBot="1" x14ac:dyDescent="0.4">
      <c r="A16" s="91" t="s">
        <v>148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</row>
    <row r="17" spans="1:13" ht="23.25" x14ac:dyDescent="0.35">
      <c r="A17" s="51"/>
      <c r="B17" s="46" t="s">
        <v>68</v>
      </c>
      <c r="C17" s="47"/>
      <c r="D17" s="48"/>
      <c r="E17" s="48"/>
      <c r="F17" s="49"/>
      <c r="G17" s="48"/>
      <c r="H17" s="80" t="s">
        <v>63</v>
      </c>
      <c r="I17" s="48"/>
      <c r="J17" s="48"/>
      <c r="K17" s="48"/>
      <c r="L17" s="48"/>
      <c r="M17" s="50"/>
    </row>
    <row r="18" spans="1:13" x14ac:dyDescent="0.25">
      <c r="A18" s="51" t="s">
        <v>20</v>
      </c>
      <c r="B18" s="79">
        <v>79.52</v>
      </c>
      <c r="C18" s="53" t="s">
        <v>149</v>
      </c>
      <c r="D18" s="53"/>
      <c r="E18" s="53"/>
      <c r="F18" s="54"/>
      <c r="G18" s="53"/>
      <c r="H18" s="81">
        <f>B18*12</f>
        <v>954.24</v>
      </c>
      <c r="I18" s="53"/>
      <c r="J18" s="53"/>
      <c r="K18" s="53"/>
      <c r="L18" s="53"/>
      <c r="M18" s="55"/>
    </row>
    <row r="19" spans="1:13" x14ac:dyDescent="0.2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5"/>
    </row>
    <row r="20" spans="1:13" x14ac:dyDescent="0.25">
      <c r="A20" s="51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5"/>
    </row>
    <row r="21" spans="1:13" ht="15.75" thickBot="1" x14ac:dyDescent="0.3">
      <c r="A21" s="56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</row>
    <row r="23" spans="1:13" ht="24" thickBot="1" x14ac:dyDescent="0.4">
      <c r="A23" s="89" t="s">
        <v>150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</row>
    <row r="24" spans="1:13" x14ac:dyDescent="0.25">
      <c r="A24" s="31"/>
      <c r="B24" s="32"/>
      <c r="C24" s="32"/>
      <c r="D24" s="33"/>
      <c r="E24" s="33"/>
      <c r="F24" s="33" t="s">
        <v>66</v>
      </c>
      <c r="G24" s="33"/>
      <c r="H24" s="33"/>
      <c r="I24" s="33"/>
      <c r="J24" s="33"/>
      <c r="K24" s="33"/>
      <c r="L24" s="33"/>
      <c r="M24" s="34"/>
    </row>
    <row r="25" spans="1:13" x14ac:dyDescent="0.25">
      <c r="A25" s="35" t="s">
        <v>151</v>
      </c>
      <c r="B25" s="36" t="s">
        <v>152</v>
      </c>
      <c r="C25" s="37"/>
      <c r="D25" s="37"/>
      <c r="E25" s="37"/>
      <c r="F25" s="82">
        <f>B28*12</f>
        <v>11400</v>
      </c>
      <c r="G25" s="37"/>
      <c r="H25" s="37"/>
      <c r="I25" s="37"/>
      <c r="J25" s="37"/>
      <c r="K25" s="37"/>
      <c r="L25" s="38"/>
      <c r="M25" s="39"/>
    </row>
    <row r="26" spans="1:13" x14ac:dyDescent="0.25">
      <c r="A26" s="35" t="s">
        <v>155</v>
      </c>
      <c r="B26" s="70">
        <v>10</v>
      </c>
      <c r="C26" s="37" t="s">
        <v>153</v>
      </c>
      <c r="D26" s="37"/>
      <c r="E26" s="37"/>
      <c r="F26" s="37"/>
      <c r="G26" s="37"/>
      <c r="H26" s="37"/>
      <c r="I26" s="37"/>
      <c r="J26" s="37"/>
      <c r="K26" s="37"/>
      <c r="L26" s="37"/>
      <c r="M26" s="39"/>
    </row>
    <row r="27" spans="1:13" x14ac:dyDescent="0.25">
      <c r="A27" s="35" t="s">
        <v>154</v>
      </c>
      <c r="B27" s="82">
        <v>95</v>
      </c>
      <c r="C27" s="37" t="s">
        <v>22</v>
      </c>
      <c r="D27" s="37"/>
      <c r="E27" s="37"/>
      <c r="F27" s="37"/>
      <c r="G27" s="37"/>
      <c r="H27" s="37"/>
      <c r="I27" s="37"/>
      <c r="J27" s="37"/>
      <c r="K27" s="37"/>
      <c r="L27" s="37"/>
      <c r="M27" s="39"/>
    </row>
    <row r="28" spans="1:13" x14ac:dyDescent="0.25">
      <c r="A28" s="35" t="s">
        <v>156</v>
      </c>
      <c r="B28" s="82">
        <f>B27*B26</f>
        <v>950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9"/>
    </row>
    <row r="29" spans="1:13" ht="15.75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3"/>
    </row>
  </sheetData>
  <mergeCells count="4">
    <mergeCell ref="A1:M1"/>
    <mergeCell ref="A9:M9"/>
    <mergeCell ref="A16:M16"/>
    <mergeCell ref="A23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4" sqref="H4"/>
    </sheetView>
  </sheetViews>
  <sheetFormatPr defaultRowHeight="15" x14ac:dyDescent="0.25"/>
  <cols>
    <col min="1" max="1" width="11.5703125" bestFit="1" customWidth="1"/>
    <col min="2" max="2" width="24.85546875" bestFit="1" customWidth="1"/>
    <col min="4" max="4" width="15.28515625" bestFit="1" customWidth="1"/>
    <col min="5" max="5" width="17.5703125" bestFit="1" customWidth="1"/>
  </cols>
  <sheetData>
    <row r="1" spans="1:5" x14ac:dyDescent="0.25">
      <c r="A1" t="s">
        <v>65</v>
      </c>
      <c r="B1" t="s">
        <v>80</v>
      </c>
      <c r="D1" t="s">
        <v>65</v>
      </c>
      <c r="E1" t="s">
        <v>82</v>
      </c>
    </row>
    <row r="2" spans="1:5" x14ac:dyDescent="0.25">
      <c r="A2" t="s">
        <v>21</v>
      </c>
      <c r="B2" s="14">
        <v>49.9</v>
      </c>
      <c r="D2" t="s">
        <v>81</v>
      </c>
      <c r="E2" s="14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4" sqref="B14"/>
    </sheetView>
  </sheetViews>
  <sheetFormatPr defaultRowHeight="15" x14ac:dyDescent="0.25"/>
  <cols>
    <col min="1" max="1" width="39.42578125" bestFit="1" customWidth="1"/>
    <col min="2" max="2" width="32.5703125" bestFit="1" customWidth="1"/>
    <col min="3" max="4" width="33.140625" bestFit="1" customWidth="1"/>
    <col min="5" max="5" width="30.7109375" bestFit="1" customWidth="1"/>
  </cols>
  <sheetData>
    <row r="1" spans="1:5" ht="18.75" x14ac:dyDescent="0.3">
      <c r="A1" s="92" t="s">
        <v>47</v>
      </c>
      <c r="B1" s="92"/>
      <c r="C1" s="92"/>
      <c r="D1" s="92"/>
      <c r="E1" s="26"/>
    </row>
    <row r="2" spans="1:5" x14ac:dyDescent="0.25">
      <c r="B2" t="s">
        <v>44</v>
      </c>
      <c r="C2" t="s">
        <v>45</v>
      </c>
      <c r="D2" t="s">
        <v>43</v>
      </c>
    </row>
    <row r="3" spans="1:5" x14ac:dyDescent="0.25">
      <c r="A3" t="s">
        <v>42</v>
      </c>
      <c r="B3" s="28">
        <f>'Schatting gebruikers'!C11/50</f>
        <v>654.64779957510768</v>
      </c>
      <c r="C3" s="14">
        <v>0.5</v>
      </c>
      <c r="D3" s="14">
        <f>B3*C3</f>
        <v>327.32389978755384</v>
      </c>
    </row>
    <row r="4" spans="1:5" x14ac:dyDescent="0.25">
      <c r="A4" t="s">
        <v>41</v>
      </c>
      <c r="B4" s="28">
        <f>'Schatting gebruikers'!C11/100*12</f>
        <v>3927.8867974506461</v>
      </c>
      <c r="C4" s="14">
        <v>5</v>
      </c>
      <c r="D4" s="14">
        <f>B4*C4</f>
        <v>19639.433987253229</v>
      </c>
    </row>
    <row r="5" spans="1:5" x14ac:dyDescent="0.25">
      <c r="A5" t="s">
        <v>46</v>
      </c>
      <c r="B5" s="28">
        <f>'Schatting gebruikers'!C11/50</f>
        <v>654.64779957510768</v>
      </c>
      <c r="C5" s="14">
        <v>2</v>
      </c>
      <c r="D5" s="14">
        <f>B5*C5</f>
        <v>1309.2955991502154</v>
      </c>
    </row>
    <row r="6" spans="1:5" x14ac:dyDescent="0.25">
      <c r="A6" t="s">
        <v>84</v>
      </c>
      <c r="B6" s="28">
        <f>'Schatting gebruikers'!C11/50</f>
        <v>654.64779957510768</v>
      </c>
      <c r="C6" s="14">
        <v>0.98</v>
      </c>
      <c r="D6" s="14">
        <f>B6*C6</f>
        <v>641.55484358360548</v>
      </c>
    </row>
    <row r="7" spans="1:5" x14ac:dyDescent="0.25">
      <c r="A7" t="s">
        <v>194</v>
      </c>
      <c r="B7">
        <f>'Schatting gebruikers'!B11*0.02</f>
        <v>624</v>
      </c>
      <c r="C7" s="14">
        <f>0.1</f>
        <v>0.1</v>
      </c>
      <c r="D7" s="23">
        <f>C7*B7</f>
        <v>62.400000000000006</v>
      </c>
    </row>
    <row r="9" spans="1:5" x14ac:dyDescent="0.25">
      <c r="A9" t="s">
        <v>63</v>
      </c>
      <c r="B9" s="28">
        <f>SUM(B3:B6)</f>
        <v>5891.8301961759689</v>
      </c>
      <c r="C9" s="28"/>
      <c r="D9" s="14">
        <f>SUM(D3:D7)</f>
        <v>21980.008329774606</v>
      </c>
    </row>
    <row r="10" spans="1:5" ht="18.75" x14ac:dyDescent="0.3">
      <c r="A10" s="92" t="s">
        <v>48</v>
      </c>
      <c r="B10" s="92"/>
    </row>
    <row r="11" spans="1:5" x14ac:dyDescent="0.25">
      <c r="A11" t="s">
        <v>49</v>
      </c>
      <c r="B11" s="28">
        <f>'Schatting gebruikers'!C11</f>
        <v>32732.389978755386</v>
      </c>
    </row>
    <row r="12" spans="1:5" x14ac:dyDescent="0.25">
      <c r="A12" t="s">
        <v>60</v>
      </c>
      <c r="B12">
        <v>60</v>
      </c>
    </row>
    <row r="13" spans="1:5" x14ac:dyDescent="0.25">
      <c r="A13" t="s">
        <v>62</v>
      </c>
      <c r="B13" s="14">
        <v>3</v>
      </c>
    </row>
    <row r="14" spans="1:5" x14ac:dyDescent="0.25">
      <c r="A14" t="s">
        <v>61</v>
      </c>
      <c r="B14" s="14">
        <f>B11*B12*B13/1000</f>
        <v>5891.8301961759689</v>
      </c>
    </row>
    <row r="18" spans="1:2" x14ac:dyDescent="0.25">
      <c r="A18" s="30" t="s">
        <v>64</v>
      </c>
      <c r="B18" s="23">
        <f>B14+D9</f>
        <v>27871.838525950574</v>
      </c>
    </row>
  </sheetData>
  <autoFilter ref="A2:D6">
    <sortState ref="A3:D6">
      <sortCondition ref="A2:A6"/>
    </sortState>
  </autoFilter>
  <mergeCells count="2">
    <mergeCell ref="A1:D1"/>
    <mergeCell ref="A10:B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11" sqref="G11"/>
    </sheetView>
  </sheetViews>
  <sheetFormatPr defaultRowHeight="15" x14ac:dyDescent="0.25"/>
  <cols>
    <col min="1" max="1" width="39.5703125" bestFit="1" customWidth="1"/>
    <col min="2" max="2" width="12" bestFit="1" customWidth="1"/>
    <col min="3" max="4" width="10.5703125" bestFit="1" customWidth="1"/>
  </cols>
  <sheetData>
    <row r="1" spans="1:11" ht="18.75" x14ac:dyDescent="0.3">
      <c r="A1" s="92" t="s">
        <v>55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x14ac:dyDescent="0.25">
      <c r="A2" t="s">
        <v>50</v>
      </c>
      <c r="B2">
        <v>60000</v>
      </c>
    </row>
    <row r="3" spans="1:11" x14ac:dyDescent="0.25">
      <c r="A3" t="s">
        <v>52</v>
      </c>
      <c r="B3" s="24">
        <v>0.8</v>
      </c>
    </row>
    <row r="4" spans="1:11" x14ac:dyDescent="0.25">
      <c r="A4" t="s">
        <v>54</v>
      </c>
      <c r="B4" s="16">
        <v>0.65</v>
      </c>
    </row>
    <row r="5" spans="1:11" x14ac:dyDescent="0.25">
      <c r="A5" t="s">
        <v>51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 x14ac:dyDescent="0.25">
      <c r="A6" t="s">
        <v>53</v>
      </c>
      <c r="B6">
        <f>($B$2*B5)*$B$3-(($B$2*(B5))*$B$3)*(1-$B$4^B5)</f>
        <v>31200</v>
      </c>
      <c r="C6">
        <f t="shared" ref="C6:K6" si="0">($B$2*C5)*$B$3-(($B$2*(C5))*$B$3)*(1-$B$4^C5)</f>
        <v>40560.000000000007</v>
      </c>
      <c r="D6">
        <f t="shared" si="0"/>
        <v>39546.000000000015</v>
      </c>
      <c r="E6">
        <f t="shared" si="0"/>
        <v>34273.200000000012</v>
      </c>
      <c r="F6">
        <f t="shared" si="0"/>
        <v>27846.975000000006</v>
      </c>
      <c r="G6">
        <f t="shared" si="0"/>
        <v>21720.640500000038</v>
      </c>
      <c r="H6">
        <f t="shared" si="0"/>
        <v>16471.485712499998</v>
      </c>
      <c r="I6">
        <f t="shared" si="0"/>
        <v>12235.960814999999</v>
      </c>
      <c r="J6">
        <f t="shared" si="0"/>
        <v>8947.5463459687307</v>
      </c>
      <c r="K6">
        <f t="shared" si="0"/>
        <v>6462.116805421887</v>
      </c>
    </row>
    <row r="9" spans="1:11" ht="18.75" x14ac:dyDescent="0.3">
      <c r="A9" s="92" t="s">
        <v>131</v>
      </c>
      <c r="B9" s="92"/>
      <c r="C9" s="92"/>
      <c r="D9" s="92"/>
    </row>
    <row r="10" spans="1:11" x14ac:dyDescent="0.25">
      <c r="A10" t="s">
        <v>56</v>
      </c>
      <c r="B10" t="s">
        <v>57</v>
      </c>
      <c r="C10" t="s">
        <v>58</v>
      </c>
    </row>
    <row r="11" spans="1:11" x14ac:dyDescent="0.25">
      <c r="A11">
        <v>1</v>
      </c>
      <c r="B11">
        <f>B6</f>
        <v>31200</v>
      </c>
      <c r="C11" s="28">
        <f t="array" ref="C11:C20">GROWTH(B11:B13,A11:A13,A11:A20)</f>
        <v>32732.389978755386</v>
      </c>
    </row>
    <row r="12" spans="1:11" x14ac:dyDescent="0.25">
      <c r="A12">
        <v>2</v>
      </c>
      <c r="B12">
        <f>C6</f>
        <v>40560.000000000007</v>
      </c>
      <c r="C12" s="28">
        <v>36851.205622635774</v>
      </c>
    </row>
    <row r="13" spans="1:11" x14ac:dyDescent="0.25">
      <c r="A13">
        <v>3</v>
      </c>
      <c r="B13">
        <f>D6</f>
        <v>39546.000000000015</v>
      </c>
      <c r="C13" s="28">
        <v>41488.304298072508</v>
      </c>
    </row>
    <row r="14" spans="1:11" x14ac:dyDescent="0.25">
      <c r="A14">
        <v>4</v>
      </c>
      <c r="C14" s="28">
        <v>46708.903126690915</v>
      </c>
    </row>
    <row r="15" spans="1:11" x14ac:dyDescent="0.25">
      <c r="A15">
        <v>5</v>
      </c>
      <c r="C15" s="28">
        <v>52586.425697806982</v>
      </c>
    </row>
    <row r="16" spans="1:11" x14ac:dyDescent="0.25">
      <c r="A16">
        <v>6</v>
      </c>
      <c r="C16" s="28">
        <v>59203.534713080815</v>
      </c>
    </row>
    <row r="17" spans="1:3" x14ac:dyDescent="0.25">
      <c r="A17">
        <v>7</v>
      </c>
      <c r="C17" s="28">
        <v>66653.294571970444</v>
      </c>
    </row>
    <row r="18" spans="1:3" x14ac:dyDescent="0.25">
      <c r="A18">
        <v>8</v>
      </c>
      <c r="C18" s="28">
        <v>75040.480248830048</v>
      </c>
    </row>
    <row r="19" spans="1:3" x14ac:dyDescent="0.25">
      <c r="A19">
        <v>9</v>
      </c>
      <c r="C19" s="28">
        <v>84483.050869972663</v>
      </c>
    </row>
    <row r="20" spans="1:3" x14ac:dyDescent="0.25">
      <c r="A20">
        <v>10</v>
      </c>
      <c r="C20" s="28">
        <v>95113.808715392224</v>
      </c>
    </row>
    <row r="21" spans="1:3" x14ac:dyDescent="0.25">
      <c r="A21" t="s">
        <v>59</v>
      </c>
      <c r="B21" s="24">
        <f>LOGEST(B11:B13,A11:A13)-1</f>
        <v>0.125833024919771</v>
      </c>
    </row>
  </sheetData>
  <mergeCells count="2">
    <mergeCell ref="A1:K1"/>
    <mergeCell ref="A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52.85546875" bestFit="1" customWidth="1"/>
    <col min="2" max="2" width="14.140625" bestFit="1" customWidth="1"/>
  </cols>
  <sheetData>
    <row r="1" spans="1:3" x14ac:dyDescent="0.25">
      <c r="A1" t="s">
        <v>33</v>
      </c>
      <c r="B1" t="s">
        <v>34</v>
      </c>
      <c r="C1" s="14">
        <v>69.900000000000006</v>
      </c>
    </row>
    <row r="2" spans="1:3" x14ac:dyDescent="0.25">
      <c r="A2" t="s">
        <v>35</v>
      </c>
      <c r="B2" t="s">
        <v>36</v>
      </c>
      <c r="C2" s="14">
        <v>39.99</v>
      </c>
    </row>
    <row r="3" spans="1:3" x14ac:dyDescent="0.25">
      <c r="C3" s="23">
        <f>SUM(C1:C2)</f>
        <v>109.89000000000001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" x14ac:dyDescent="0.25"/>
  <cols>
    <col min="1" max="1" width="85.42578125" bestFit="1" customWidth="1"/>
    <col min="2" max="2" width="11.28515625" bestFit="1" customWidth="1"/>
  </cols>
  <sheetData>
    <row r="1" spans="1:4" x14ac:dyDescent="0.25">
      <c r="A1" t="s">
        <v>193</v>
      </c>
      <c r="B1" t="s">
        <v>68</v>
      </c>
      <c r="C1" t="s">
        <v>57</v>
      </c>
      <c r="D1" t="s">
        <v>192</v>
      </c>
    </row>
    <row r="2" spans="1:4" x14ac:dyDescent="0.25">
      <c r="A2" t="s">
        <v>23</v>
      </c>
      <c r="B2" s="25">
        <v>395</v>
      </c>
      <c r="D2">
        <v>88</v>
      </c>
    </row>
    <row r="3" spans="1:4" x14ac:dyDescent="0.25">
      <c r="A3" t="s">
        <v>24</v>
      </c>
      <c r="B3" s="14">
        <v>99.99</v>
      </c>
    </row>
    <row r="4" spans="1:4" x14ac:dyDescent="0.25">
      <c r="A4" t="s">
        <v>27</v>
      </c>
      <c r="B4" s="14">
        <v>64.13</v>
      </c>
    </row>
    <row r="5" spans="1:4" x14ac:dyDescent="0.25">
      <c r="A5" t="s">
        <v>28</v>
      </c>
      <c r="B5" s="14">
        <v>179.99</v>
      </c>
    </row>
    <row r="6" spans="1:4" x14ac:dyDescent="0.25">
      <c r="A6" t="s">
        <v>29</v>
      </c>
      <c r="B6" s="14">
        <v>80.98</v>
      </c>
    </row>
    <row r="7" spans="1:4" x14ac:dyDescent="0.25">
      <c r="A7" t="s">
        <v>30</v>
      </c>
      <c r="B7" s="14">
        <v>319.99</v>
      </c>
      <c r="D7">
        <v>170</v>
      </c>
    </row>
    <row r="8" spans="1:4" x14ac:dyDescent="0.25">
      <c r="A8" t="s">
        <v>25</v>
      </c>
      <c r="B8" s="14">
        <v>89.99</v>
      </c>
    </row>
    <row r="9" spans="1:4" x14ac:dyDescent="0.25">
      <c r="A9" t="s">
        <v>26</v>
      </c>
      <c r="B9" s="14">
        <v>44.49</v>
      </c>
    </row>
    <row r="10" spans="1:4" x14ac:dyDescent="0.25">
      <c r="A10" t="s">
        <v>31</v>
      </c>
      <c r="B10" s="23">
        <v>199</v>
      </c>
      <c r="C10">
        <v>2</v>
      </c>
      <c r="D10">
        <v>32</v>
      </c>
    </row>
    <row r="11" spans="1:4" x14ac:dyDescent="0.25">
      <c r="A11" t="s">
        <v>32</v>
      </c>
      <c r="B11" s="23">
        <v>9.99</v>
      </c>
    </row>
    <row r="12" spans="1:4" x14ac:dyDescent="0.25">
      <c r="A12" t="s">
        <v>40</v>
      </c>
      <c r="B12" s="23">
        <v>9.99</v>
      </c>
    </row>
    <row r="13" spans="1:4" x14ac:dyDescent="0.25">
      <c r="B13" s="23">
        <f>SUM(B2:B9,B10*C10,B11:B12)</f>
        <v>1692.54</v>
      </c>
      <c r="D13">
        <f>SUM(D2:D9,C10*D10,D11:D12)</f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E9" sqref="E9"/>
    </sheetView>
  </sheetViews>
  <sheetFormatPr defaultRowHeight="15" x14ac:dyDescent="0.25"/>
  <cols>
    <col min="1" max="1" width="15.7109375" bestFit="1" customWidth="1"/>
    <col min="2" max="2" width="10.7109375" bestFit="1" customWidth="1"/>
    <col min="4" max="4" width="20.28515625" bestFit="1" customWidth="1"/>
    <col min="5" max="5" width="10.7109375" bestFit="1" customWidth="1"/>
    <col min="6" max="6" width="8.140625" bestFit="1" customWidth="1"/>
    <col min="7" max="7" width="28.28515625" bestFit="1" customWidth="1"/>
    <col min="8" max="8" width="24" bestFit="1" customWidth="1"/>
    <col min="9" max="9" width="10.28515625" bestFit="1" customWidth="1"/>
    <col min="10" max="10" width="4.28515625" bestFit="1" customWidth="1"/>
    <col min="11" max="11" width="13.42578125" bestFit="1" customWidth="1"/>
    <col min="12" max="12" width="25" bestFit="1" customWidth="1"/>
    <col min="13" max="13" width="13.5703125" customWidth="1"/>
    <col min="15" max="15" width="24" bestFit="1" customWidth="1"/>
    <col min="16" max="16" width="11.28515625" bestFit="1" customWidth="1"/>
    <col min="19" max="19" width="26" bestFit="1" customWidth="1"/>
  </cols>
  <sheetData>
    <row r="1" spans="1:12" ht="15.75" thickBot="1" x14ac:dyDescent="0.3">
      <c r="A1" t="s">
        <v>123</v>
      </c>
      <c r="B1" s="69">
        <v>42349</v>
      </c>
    </row>
    <row r="2" spans="1:12" ht="15.75" thickBot="1" x14ac:dyDescent="0.3">
      <c r="A2" t="s">
        <v>122</v>
      </c>
      <c r="B2" s="17">
        <v>9.7999999999999997E-3</v>
      </c>
      <c r="D2" s="72" t="s">
        <v>130</v>
      </c>
      <c r="E2" s="73"/>
      <c r="F2" s="74"/>
      <c r="H2" s="93" t="s">
        <v>129</v>
      </c>
      <c r="I2" s="94"/>
      <c r="J2" s="95"/>
      <c r="L2" s="59" t="s">
        <v>128</v>
      </c>
    </row>
    <row r="3" spans="1:12" ht="15.75" thickBot="1" x14ac:dyDescent="0.3">
      <c r="D3" s="31"/>
      <c r="E3" s="33"/>
      <c r="F3" s="34"/>
      <c r="H3" s="31"/>
      <c r="I3" s="33"/>
      <c r="J3" s="34"/>
      <c r="L3" s="60">
        <f>I10+I16+I17+I18+I19</f>
        <v>7948.3783964625882</v>
      </c>
    </row>
    <row r="4" spans="1:12" x14ac:dyDescent="0.25">
      <c r="D4" s="35" t="s">
        <v>85</v>
      </c>
      <c r="E4" s="61">
        <f>B1</f>
        <v>42349</v>
      </c>
      <c r="F4" s="39"/>
      <c r="H4" s="35" t="s">
        <v>86</v>
      </c>
      <c r="I4" s="37">
        <f>((E6*E7)/(E7+E6*E8))</f>
        <v>2</v>
      </c>
      <c r="J4" s="39" t="s">
        <v>87</v>
      </c>
    </row>
    <row r="5" spans="1:12" x14ac:dyDescent="0.25">
      <c r="D5" s="35" t="s">
        <v>88</v>
      </c>
      <c r="E5" s="61">
        <v>42319</v>
      </c>
      <c r="F5" s="39"/>
      <c r="H5" s="35" t="s">
        <v>89</v>
      </c>
      <c r="I5" s="62">
        <f>(E4-E5)/365</f>
        <v>8.2191780821917804E-2</v>
      </c>
      <c r="J5" s="39" t="s">
        <v>87</v>
      </c>
    </row>
    <row r="6" spans="1:12" x14ac:dyDescent="0.25">
      <c r="D6" s="35" t="s">
        <v>89</v>
      </c>
      <c r="E6" s="37">
        <v>4</v>
      </c>
      <c r="F6" s="39" t="s">
        <v>87</v>
      </c>
      <c r="H6" s="35" t="s">
        <v>90</v>
      </c>
      <c r="I6" s="36">
        <f>IF(I5&lt;=I4,(E9*(1+E10)^I5),(E9*(1+E10)^I4))</f>
        <v>6775.5888527485658</v>
      </c>
      <c r="J6" s="39"/>
    </row>
    <row r="7" spans="1:12" x14ac:dyDescent="0.25">
      <c r="D7" s="35" t="s">
        <v>91</v>
      </c>
      <c r="E7" s="71">
        <f>E8*E6</f>
        <v>8342.8571428571431</v>
      </c>
      <c r="F7" s="39" t="s">
        <v>92</v>
      </c>
      <c r="H7" s="35" t="s">
        <v>93</v>
      </c>
      <c r="I7" s="63">
        <f>I6*E11</f>
        <v>2032.6766558245697</v>
      </c>
      <c r="J7" s="39"/>
    </row>
    <row r="8" spans="1:12" x14ac:dyDescent="0.25">
      <c r="D8" s="35" t="s">
        <v>94</v>
      </c>
      <c r="E8" s="71">
        <f>365/7*5*8</f>
        <v>2085.7142857142858</v>
      </c>
      <c r="F8" s="39" t="s">
        <v>95</v>
      </c>
      <c r="H8" s="35" t="s">
        <v>96</v>
      </c>
      <c r="I8" s="36">
        <f>IF(I5&lt;I4,IF(I4&lt;1,I6-I7, (I6-I7)/I4),0)</f>
        <v>2371.456098461998</v>
      </c>
      <c r="J8" s="39"/>
    </row>
    <row r="9" spans="1:12" x14ac:dyDescent="0.25">
      <c r="D9" s="35" t="s">
        <v>97</v>
      </c>
      <c r="E9" s="63">
        <f>Hardware!B13*4</f>
        <v>6770.16</v>
      </c>
      <c r="F9" s="39"/>
      <c r="H9" s="35" t="s">
        <v>98</v>
      </c>
      <c r="I9" s="36">
        <f>IF(I5&lt;=I4,I8*I5,(E9*(1+E10)^I4)-(E9*(1+E10)^I4)*E11)</f>
        <v>194.91419987358887</v>
      </c>
      <c r="J9" s="39"/>
    </row>
    <row r="10" spans="1:12" x14ac:dyDescent="0.25">
      <c r="D10" s="35" t="s">
        <v>99</v>
      </c>
      <c r="E10" s="64">
        <f>B2</f>
        <v>9.7999999999999997E-3</v>
      </c>
      <c r="F10" s="39"/>
      <c r="H10" s="35" t="s">
        <v>100</v>
      </c>
      <c r="I10" s="36">
        <f>IF(I5&lt;=E14,E13/E14,0)</f>
        <v>6770.16</v>
      </c>
      <c r="J10" s="39"/>
    </row>
    <row r="11" spans="1:12" x14ac:dyDescent="0.25">
      <c r="D11" s="35" t="s">
        <v>101</v>
      </c>
      <c r="E11" s="65">
        <v>0.3</v>
      </c>
      <c r="F11" s="39"/>
      <c r="H11" s="35" t="s">
        <v>102</v>
      </c>
      <c r="I11" s="36">
        <f>IF(I5&lt;=E14,I10*I5,E13)</f>
        <v>556.45150684931502</v>
      </c>
      <c r="J11" s="39"/>
      <c r="L11" s="23"/>
    </row>
    <row r="12" spans="1:12" x14ac:dyDescent="0.25">
      <c r="D12" s="35" t="s">
        <v>103</v>
      </c>
      <c r="E12" s="66">
        <f>4.95%</f>
        <v>4.9500000000000002E-2</v>
      </c>
      <c r="F12" s="39"/>
      <c r="H12" s="35" t="s">
        <v>104</v>
      </c>
      <c r="I12" s="63">
        <f>E13-I11</f>
        <v>6213.7084931506852</v>
      </c>
      <c r="J12" s="39"/>
    </row>
    <row r="13" spans="1:12" x14ac:dyDescent="0.25">
      <c r="D13" s="35" t="s">
        <v>105</v>
      </c>
      <c r="E13" s="36">
        <f>E9</f>
        <v>6770.16</v>
      </c>
      <c r="F13" s="39"/>
      <c r="H13" s="35" t="s">
        <v>106</v>
      </c>
      <c r="I13" s="63">
        <f>I6-(I12+I9)</f>
        <v>366.96615972429208</v>
      </c>
      <c r="J13" s="39"/>
    </row>
    <row r="14" spans="1:12" x14ac:dyDescent="0.25">
      <c r="D14" s="35" t="s">
        <v>124</v>
      </c>
      <c r="E14" s="37">
        <v>1</v>
      </c>
      <c r="F14" s="39" t="s">
        <v>87</v>
      </c>
      <c r="H14" s="35" t="s">
        <v>125</v>
      </c>
      <c r="I14" s="63">
        <f>I13*E15</f>
        <v>7.3393231944858419</v>
      </c>
      <c r="J14" s="39"/>
    </row>
    <row r="15" spans="1:12" x14ac:dyDescent="0.25">
      <c r="D15" s="35" t="s">
        <v>109</v>
      </c>
      <c r="E15" s="65">
        <v>0.02</v>
      </c>
      <c r="F15" s="39"/>
      <c r="H15" s="35" t="s">
        <v>126</v>
      </c>
      <c r="I15" s="63">
        <f>I12*E12</f>
        <v>307.57857041095895</v>
      </c>
      <c r="J15" s="39"/>
    </row>
    <row r="16" spans="1:12" x14ac:dyDescent="0.25">
      <c r="D16" s="35" t="s">
        <v>111</v>
      </c>
      <c r="E16" s="36">
        <v>0.05</v>
      </c>
      <c r="F16" s="39" t="s">
        <v>112</v>
      </c>
      <c r="H16" s="35" t="s">
        <v>127</v>
      </c>
      <c r="I16" s="63">
        <f>I14+I15</f>
        <v>314.91789360544476</v>
      </c>
      <c r="J16" s="39"/>
    </row>
    <row r="17" spans="4:12" x14ac:dyDescent="0.25">
      <c r="D17" s="35" t="s">
        <v>114</v>
      </c>
      <c r="E17" s="36">
        <v>0.1</v>
      </c>
      <c r="F17" s="39" t="s">
        <v>112</v>
      </c>
      <c r="H17" s="35" t="s">
        <v>115</v>
      </c>
      <c r="I17" s="63">
        <f>SUM(E16:E18)*E8</f>
        <v>863.30050285714299</v>
      </c>
      <c r="J17" s="39"/>
    </row>
    <row r="18" spans="4:12" x14ac:dyDescent="0.25">
      <c r="D18" s="35" t="s">
        <v>77</v>
      </c>
      <c r="E18" s="36">
        <f>Kosten!B11*(Hardware!D13/1000)*4</f>
        <v>0.26391120000000001</v>
      </c>
      <c r="F18" s="39" t="s">
        <v>112</v>
      </c>
      <c r="H18" s="35" t="s">
        <v>116</v>
      </c>
      <c r="I18" s="63">
        <f>E19+E20</f>
        <v>0</v>
      </c>
      <c r="J18" s="39"/>
    </row>
    <row r="19" spans="4:12" ht="15.75" thickBot="1" x14ac:dyDescent="0.3">
      <c r="D19" s="35" t="s">
        <v>117</v>
      </c>
      <c r="E19" s="36">
        <v>0</v>
      </c>
      <c r="F19" s="39"/>
      <c r="H19" s="41" t="s">
        <v>118</v>
      </c>
      <c r="I19" s="67">
        <f>E21</f>
        <v>0</v>
      </c>
      <c r="J19" s="43"/>
    </row>
    <row r="20" spans="4:12" x14ac:dyDescent="0.25">
      <c r="D20" s="35" t="s">
        <v>119</v>
      </c>
      <c r="E20" s="36">
        <v>0</v>
      </c>
      <c r="F20" s="39"/>
    </row>
    <row r="21" spans="4:12" x14ac:dyDescent="0.25">
      <c r="D21" s="35" t="s">
        <v>120</v>
      </c>
      <c r="E21" s="36">
        <v>0</v>
      </c>
      <c r="F21" s="39"/>
    </row>
    <row r="22" spans="4:12" ht="15.75" thickBot="1" x14ac:dyDescent="0.3">
      <c r="D22" s="41" t="s">
        <v>121</v>
      </c>
      <c r="E22" s="68">
        <v>0</v>
      </c>
      <c r="F22" s="43"/>
    </row>
    <row r="25" spans="4:12" ht="15.75" thickBot="1" x14ac:dyDescent="0.3"/>
    <row r="26" spans="4:12" ht="15.75" thickBot="1" x14ac:dyDescent="0.3">
      <c r="D26" s="93" t="s">
        <v>134</v>
      </c>
      <c r="E26" s="94"/>
      <c r="F26" s="95"/>
      <c r="H26" s="93" t="s">
        <v>135</v>
      </c>
      <c r="I26" s="94"/>
      <c r="J26" s="95"/>
      <c r="L26" s="59" t="s">
        <v>136</v>
      </c>
    </row>
    <row r="27" spans="4:12" ht="15.75" thickBot="1" x14ac:dyDescent="0.3">
      <c r="D27" s="31"/>
      <c r="E27" s="33"/>
      <c r="F27" s="34"/>
      <c r="H27" s="31"/>
      <c r="I27" s="33"/>
      <c r="J27" s="34"/>
      <c r="L27" s="60">
        <f>I34+I40+I41+I42+I43</f>
        <v>459.94835835616442</v>
      </c>
    </row>
    <row r="28" spans="4:12" x14ac:dyDescent="0.25">
      <c r="D28" s="35" t="s">
        <v>85</v>
      </c>
      <c r="E28" s="61">
        <f>$B$1</f>
        <v>42349</v>
      </c>
      <c r="F28" s="39"/>
      <c r="H28" s="35"/>
      <c r="I28" s="37"/>
      <c r="J28" s="39"/>
    </row>
    <row r="29" spans="4:12" x14ac:dyDescent="0.25">
      <c r="D29" s="35" t="s">
        <v>88</v>
      </c>
      <c r="E29" s="61">
        <v>42324</v>
      </c>
      <c r="F29" s="39"/>
      <c r="H29" s="35" t="s">
        <v>89</v>
      </c>
      <c r="I29" s="62">
        <f>(E28-E29)/365</f>
        <v>6.8493150684931503E-2</v>
      </c>
      <c r="J29" s="39" t="s">
        <v>87</v>
      </c>
    </row>
    <row r="30" spans="4:12" x14ac:dyDescent="0.25">
      <c r="D30" s="35" t="s">
        <v>86</v>
      </c>
      <c r="E30" s="37">
        <v>1</v>
      </c>
      <c r="F30" s="39" t="s">
        <v>87</v>
      </c>
      <c r="H30" s="35" t="s">
        <v>90</v>
      </c>
      <c r="I30" s="36">
        <f>IF(I29&lt;=E30,(E31*(1+E32)^I29),(E31*(1+E32)^E30))</f>
        <v>439.56000000000006</v>
      </c>
      <c r="J30" s="39"/>
    </row>
    <row r="31" spans="4:12" x14ac:dyDescent="0.25">
      <c r="D31" s="35" t="s">
        <v>97</v>
      </c>
      <c r="E31" s="63">
        <f>interieur!C3*4</f>
        <v>439.56000000000006</v>
      </c>
      <c r="F31" s="39"/>
      <c r="H31" s="35" t="s">
        <v>93</v>
      </c>
      <c r="I31" s="63">
        <f>I30*E33</f>
        <v>87.91200000000002</v>
      </c>
      <c r="J31" s="39"/>
    </row>
    <row r="32" spans="4:12" x14ac:dyDescent="0.25">
      <c r="D32" s="35" t="s">
        <v>99</v>
      </c>
      <c r="E32" s="64">
        <f>$C$2</f>
        <v>0</v>
      </c>
      <c r="F32" s="39"/>
      <c r="H32" s="35" t="s">
        <v>96</v>
      </c>
      <c r="I32" s="36">
        <f>IF(I29&lt;E30,(I30-I31)/E30,0)</f>
        <v>351.64800000000002</v>
      </c>
      <c r="J32" s="39"/>
    </row>
    <row r="33" spans="4:10" x14ac:dyDescent="0.25">
      <c r="D33" s="35" t="s">
        <v>101</v>
      </c>
      <c r="E33" s="65">
        <v>0.2</v>
      </c>
      <c r="F33" s="39"/>
      <c r="H33" s="35" t="s">
        <v>98</v>
      </c>
      <c r="I33" s="36">
        <f>IF(I29&lt;=E30,I32*I29,(E31*(1+E32)^E30)-(E31*(1+E32)^E30)*E33)</f>
        <v>24.085479452054795</v>
      </c>
      <c r="J33" s="39"/>
    </row>
    <row r="34" spans="4:10" x14ac:dyDescent="0.25">
      <c r="D34" s="35" t="s">
        <v>103</v>
      </c>
      <c r="E34" s="66">
        <f>4.95%</f>
        <v>4.9500000000000002E-2</v>
      </c>
      <c r="F34" s="39"/>
      <c r="H34" s="35" t="s">
        <v>100</v>
      </c>
      <c r="I34" s="36">
        <f>IF(I29&lt;=E36,E35/E36,0)</f>
        <v>439.56000000000006</v>
      </c>
      <c r="J34" s="39"/>
    </row>
    <row r="35" spans="4:10" x14ac:dyDescent="0.25">
      <c r="D35" s="35" t="s">
        <v>105</v>
      </c>
      <c r="E35" s="36">
        <f>E31-E41</f>
        <v>439.56000000000006</v>
      </c>
      <c r="F35" s="39"/>
      <c r="H35" s="35" t="s">
        <v>102</v>
      </c>
      <c r="I35" s="36">
        <f>IF(I29&lt;=E36,I34*I29,E35)</f>
        <v>30.106849315068494</v>
      </c>
      <c r="J35" s="39"/>
    </row>
    <row r="36" spans="4:10" x14ac:dyDescent="0.25">
      <c r="D36" s="35" t="s">
        <v>107</v>
      </c>
      <c r="E36" s="37">
        <v>1</v>
      </c>
      <c r="F36" s="39" t="s">
        <v>87</v>
      </c>
      <c r="H36" s="35" t="s">
        <v>104</v>
      </c>
      <c r="I36" s="63">
        <f>E35-I35</f>
        <v>409.45315068493159</v>
      </c>
      <c r="J36" s="39"/>
    </row>
    <row r="37" spans="4:10" x14ac:dyDescent="0.25">
      <c r="D37" s="35" t="s">
        <v>109</v>
      </c>
      <c r="E37" s="65">
        <v>0.02</v>
      </c>
      <c r="F37" s="39"/>
      <c r="H37" s="35" t="s">
        <v>106</v>
      </c>
      <c r="I37" s="63">
        <f>I30-(I36+I33)</f>
        <v>6.0213698630136605</v>
      </c>
      <c r="J37" s="39"/>
    </row>
    <row r="38" spans="4:10" x14ac:dyDescent="0.25">
      <c r="D38" s="35" t="s">
        <v>117</v>
      </c>
      <c r="E38" s="36">
        <v>0</v>
      </c>
      <c r="F38" s="39"/>
      <c r="H38" s="35" t="s">
        <v>108</v>
      </c>
      <c r="I38" s="63">
        <f>I37*E37</f>
        <v>0.12042739726027321</v>
      </c>
      <c r="J38" s="39"/>
    </row>
    <row r="39" spans="4:10" x14ac:dyDescent="0.25">
      <c r="D39" s="35" t="s">
        <v>119</v>
      </c>
      <c r="E39" s="36">
        <v>0</v>
      </c>
      <c r="F39" s="39"/>
      <c r="H39" s="35" t="s">
        <v>110</v>
      </c>
      <c r="I39" s="63">
        <f>I36*E34</f>
        <v>20.267930958904113</v>
      </c>
      <c r="J39" s="39"/>
    </row>
    <row r="40" spans="4:10" x14ac:dyDescent="0.25">
      <c r="D40" s="35" t="s">
        <v>120</v>
      </c>
      <c r="E40" s="36">
        <v>0</v>
      </c>
      <c r="F40" s="39"/>
      <c r="H40" s="35" t="s">
        <v>113</v>
      </c>
      <c r="I40" s="63">
        <f>I38+I39</f>
        <v>20.388358356164385</v>
      </c>
      <c r="J40" s="39"/>
    </row>
    <row r="41" spans="4:10" x14ac:dyDescent="0.25">
      <c r="D41" s="35" t="s">
        <v>121</v>
      </c>
      <c r="E41" s="36">
        <v>0</v>
      </c>
      <c r="F41" s="39"/>
      <c r="H41" s="35" t="s">
        <v>116</v>
      </c>
      <c r="I41" s="63">
        <f>E38+E39</f>
        <v>0</v>
      </c>
      <c r="J41" s="39"/>
    </row>
    <row r="42" spans="4:10" ht="15.75" thickBot="1" x14ac:dyDescent="0.3">
      <c r="D42" s="41" t="s">
        <v>132</v>
      </c>
      <c r="E42" s="75">
        <v>0.25</v>
      </c>
      <c r="F42" s="43"/>
      <c r="H42" s="35" t="s">
        <v>118</v>
      </c>
      <c r="I42" s="63">
        <f>E40</f>
        <v>0</v>
      </c>
      <c r="J42" s="39"/>
    </row>
    <row r="43" spans="4:10" ht="15.75" thickBot="1" x14ac:dyDescent="0.3">
      <c r="H43" s="41" t="s">
        <v>133</v>
      </c>
      <c r="I43" s="68">
        <f>IF(I29&gt;=1,(E31*(1+E32)^I29)*E42,0)</f>
        <v>0</v>
      </c>
      <c r="J43" s="43"/>
    </row>
    <row r="48" spans="4:10" ht="15.75" thickBot="1" x14ac:dyDescent="0.3"/>
    <row r="49" spans="7:8" ht="15.75" thickBot="1" x14ac:dyDescent="0.3">
      <c r="G49" s="93" t="s">
        <v>63</v>
      </c>
      <c r="H49" s="96"/>
    </row>
    <row r="50" spans="7:8" x14ac:dyDescent="0.25">
      <c r="G50" s="35" t="s">
        <v>139</v>
      </c>
      <c r="H50" s="76">
        <f>I8+I32</f>
        <v>2723.1040984619981</v>
      </c>
    </row>
    <row r="51" spans="7:8" x14ac:dyDescent="0.25">
      <c r="G51" s="35" t="s">
        <v>140</v>
      </c>
      <c r="H51" s="76">
        <f>I10+I34</f>
        <v>7209.72</v>
      </c>
    </row>
    <row r="52" spans="7:8" ht="15.75" thickBot="1" x14ac:dyDescent="0.3">
      <c r="G52" s="41" t="s">
        <v>137</v>
      </c>
      <c r="H52" s="77">
        <f>I38+I14</f>
        <v>7.4597505917461149</v>
      </c>
    </row>
  </sheetData>
  <mergeCells count="4">
    <mergeCell ref="H2:J2"/>
    <mergeCell ref="D26:F26"/>
    <mergeCell ref="H26:J26"/>
    <mergeCell ref="G49:H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" sqref="D2"/>
    </sheetView>
  </sheetViews>
  <sheetFormatPr defaultRowHeight="15" x14ac:dyDescent="0.25"/>
  <cols>
    <col min="1" max="1" width="14.5703125" bestFit="1" customWidth="1"/>
    <col min="2" max="2" width="12.28515625" bestFit="1" customWidth="1"/>
    <col min="3" max="3" width="27.140625" customWidth="1"/>
    <col min="4" max="4" width="11.28515625" bestFit="1" customWidth="1"/>
  </cols>
  <sheetData>
    <row r="1" spans="1:6" x14ac:dyDescent="0.25">
      <c r="A1" s="97" t="s">
        <v>158</v>
      </c>
      <c r="B1" s="97"/>
      <c r="C1" s="97" t="s">
        <v>184</v>
      </c>
      <c r="D1" s="97"/>
      <c r="E1" s="29"/>
      <c r="F1" s="29"/>
    </row>
    <row r="2" spans="1:6" x14ac:dyDescent="0.25">
      <c r="A2" t="s">
        <v>141</v>
      </c>
      <c r="B2" s="23">
        <f>afschrijvingen!L3</f>
        <v>7948.3783964625882</v>
      </c>
      <c r="C2" t="s">
        <v>146</v>
      </c>
      <c r="D2" s="23">
        <f>Omzet!D9</f>
        <v>21980.008329774606</v>
      </c>
    </row>
    <row r="3" spans="1:6" x14ac:dyDescent="0.25">
      <c r="A3" t="s">
        <v>142</v>
      </c>
      <c r="B3" s="23">
        <f>afschrijvingen!L27</f>
        <v>459.94835835616442</v>
      </c>
      <c r="C3" t="s">
        <v>147</v>
      </c>
      <c r="D3" s="23">
        <f>Omzet!B14</f>
        <v>5891.8301961759689</v>
      </c>
    </row>
    <row r="4" spans="1:6" x14ac:dyDescent="0.25">
      <c r="A4" t="s">
        <v>143</v>
      </c>
      <c r="B4" s="23">
        <f>SUM(Arbeid!B16:E16)</f>
        <v>712380.24</v>
      </c>
    </row>
    <row r="5" spans="1:6" x14ac:dyDescent="0.25">
      <c r="A5" t="s">
        <v>144</v>
      </c>
      <c r="B5" s="14">
        <f>Kosten!L3</f>
        <v>17.857624999999999</v>
      </c>
    </row>
    <row r="6" spans="1:6" x14ac:dyDescent="0.25">
      <c r="A6" t="s">
        <v>145</v>
      </c>
      <c r="B6" s="23">
        <f>Software!B2*4+Software!E2*4</f>
        <v>1315.6</v>
      </c>
    </row>
    <row r="7" spans="1:6" x14ac:dyDescent="0.25">
      <c r="A7" t="s">
        <v>148</v>
      </c>
      <c r="B7" s="23">
        <f>Kosten!H18</f>
        <v>954.24</v>
      </c>
    </row>
    <row r="8" spans="1:6" x14ac:dyDescent="0.25">
      <c r="A8" t="s">
        <v>157</v>
      </c>
      <c r="B8" s="14">
        <f>Kosten!F25</f>
        <v>11400</v>
      </c>
    </row>
    <row r="9" spans="1:6" x14ac:dyDescent="0.25">
      <c r="A9" t="s">
        <v>63</v>
      </c>
      <c r="B9" s="23">
        <f>SUM(B2:B8)</f>
        <v>734476.26437981869</v>
      </c>
      <c r="C9" s="23" t="s">
        <v>63</v>
      </c>
      <c r="D9" s="23">
        <f>SUM(D2:D6)</f>
        <v>27871.838525950574</v>
      </c>
    </row>
    <row r="10" spans="1:6" x14ac:dyDescent="0.25">
      <c r="B10" s="23"/>
    </row>
  </sheetData>
  <mergeCells count="2">
    <mergeCell ref="A1:B1"/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0" sqref="C20"/>
    </sheetView>
  </sheetViews>
  <sheetFormatPr defaultRowHeight="15" x14ac:dyDescent="0.25"/>
  <cols>
    <col min="1" max="1" width="44.5703125" bestFit="1" customWidth="1"/>
    <col min="2" max="2" width="5.7109375" bestFit="1" customWidth="1"/>
    <col min="3" max="3" width="12.28515625" bestFit="1" customWidth="1"/>
  </cols>
  <sheetData>
    <row r="1" spans="1:3" x14ac:dyDescent="0.25">
      <c r="A1" t="s">
        <v>160</v>
      </c>
      <c r="B1" t="s">
        <v>159</v>
      </c>
      <c r="C1" t="s">
        <v>171</v>
      </c>
    </row>
    <row r="2" spans="1:3" ht="17.25" x14ac:dyDescent="0.4">
      <c r="A2" s="83" t="s">
        <v>161</v>
      </c>
      <c r="B2" s="83">
        <f>SUM(B3:B11)</f>
        <v>205</v>
      </c>
      <c r="C2" s="84">
        <f>(B2*('Uitgaven en opbrengsten'!$B$9-'Uitgaven en opbrengsten'!$B$4))/(7.5*22*12)+B2*((Arbeid!$B$17+Arbeid!$C$17+Arbeid!$D$17+Arbeid!$E$17)/4)</f>
        <v>20726.854695890321</v>
      </c>
    </row>
    <row r="3" spans="1:3" x14ac:dyDescent="0.25">
      <c r="A3" t="s">
        <v>162</v>
      </c>
      <c r="B3">
        <v>30</v>
      </c>
      <c r="C3" s="14">
        <f>(B3*('Uitgaven en opbrengsten'!$B$9-'Uitgaven en opbrengsten'!$B$4))/(7.5*22*12)+B3*((Arbeid!$B$17+Arbeid!$C$17+Arbeid!$D$17+Arbeid!$E$17)/4)</f>
        <v>3033.198248179071</v>
      </c>
    </row>
    <row r="4" spans="1:3" x14ac:dyDescent="0.25">
      <c r="A4" t="s">
        <v>163</v>
      </c>
      <c r="B4">
        <v>20</v>
      </c>
      <c r="C4" s="14">
        <f>(B4*('Uitgaven en opbrengsten'!$B$9-'Uitgaven en opbrengsten'!$B$4))/(7.5*22*12)+B4*((Arbeid!$B$17+Arbeid!$C$17+Arbeid!$D$17+Arbeid!$E$17)/4)</f>
        <v>2022.1321654527142</v>
      </c>
    </row>
    <row r="5" spans="1:3" x14ac:dyDescent="0.25">
      <c r="A5" t="s">
        <v>164</v>
      </c>
      <c r="B5">
        <v>5</v>
      </c>
      <c r="C5" s="14">
        <f>(B5*('Uitgaven en opbrengsten'!$B$9-'Uitgaven en opbrengsten'!$B$4))/(7.5*22*12)+B5*((Arbeid!$B$17+Arbeid!$C$17+Arbeid!$D$17+Arbeid!$E$17)/4)</f>
        <v>505.53304136317854</v>
      </c>
    </row>
    <row r="6" spans="1:3" x14ac:dyDescent="0.25">
      <c r="A6" t="s">
        <v>165</v>
      </c>
      <c r="B6">
        <v>30</v>
      </c>
      <c r="C6" s="14">
        <f>(B6*('Uitgaven en opbrengsten'!$B$9-'Uitgaven en opbrengsten'!$B$4))/(7.5*22*12)+B6*((Arbeid!$B$17+Arbeid!$C$17+Arbeid!$D$17+Arbeid!$E$17)/4)</f>
        <v>3033.198248179071</v>
      </c>
    </row>
    <row r="7" spans="1:3" x14ac:dyDescent="0.25">
      <c r="A7" t="s">
        <v>166</v>
      </c>
      <c r="B7">
        <v>30</v>
      </c>
      <c r="C7" s="14">
        <f>(B7*('Uitgaven en opbrengsten'!$B$9-'Uitgaven en opbrengsten'!$B$4))/(7.5*22*12)+B7*((Arbeid!$B$17+Arbeid!$C$17+Arbeid!$D$17+Arbeid!$E$17)/4)</f>
        <v>3033.198248179071</v>
      </c>
    </row>
    <row r="8" spans="1:3" x14ac:dyDescent="0.25">
      <c r="A8" t="s">
        <v>167</v>
      </c>
      <c r="B8">
        <v>30</v>
      </c>
      <c r="C8" s="14">
        <f>(B8*('Uitgaven en opbrengsten'!$B$9-'Uitgaven en opbrengsten'!$B$4))/(7.5*22*12)+B8*((Arbeid!$B$17+Arbeid!$C$17+Arbeid!$D$17+Arbeid!$E$17)/4)</f>
        <v>3033.198248179071</v>
      </c>
    </row>
    <row r="9" spans="1:3" x14ac:dyDescent="0.25">
      <c r="A9" t="s">
        <v>168</v>
      </c>
      <c r="B9">
        <v>30</v>
      </c>
      <c r="C9" s="14">
        <f>(B9*('Uitgaven en opbrengsten'!$B$9-'Uitgaven en opbrengsten'!$B$4))/(7.5*22*12)+B9*((Arbeid!$B$17+Arbeid!$C$17+Arbeid!$D$17+Arbeid!$E$17)/4)</f>
        <v>3033.198248179071</v>
      </c>
    </row>
    <row r="10" spans="1:3" x14ac:dyDescent="0.25">
      <c r="A10" t="s">
        <v>169</v>
      </c>
      <c r="B10">
        <v>20</v>
      </c>
      <c r="C10" s="14">
        <f>(B10*('Uitgaven en opbrengsten'!$B$9-'Uitgaven en opbrengsten'!$B$4))/(7.5*22*12)+B10*((Arbeid!$B$17+Arbeid!$C$17+Arbeid!$D$17+Arbeid!$E$17)/4)</f>
        <v>2022.1321654527142</v>
      </c>
    </row>
    <row r="11" spans="1:3" x14ac:dyDescent="0.25">
      <c r="A11" t="s">
        <v>170</v>
      </c>
      <c r="B11">
        <v>10</v>
      </c>
      <c r="C11" s="14">
        <f>(B11*('Uitgaven en opbrengsten'!$B$9-'Uitgaven en opbrengsten'!$B$4))/(7.5*22*12)+B11*((Arbeid!$B$17+Arbeid!$C$17+Arbeid!$D$17+Arbeid!$E$17)/4)</f>
        <v>1011.0660827263571</v>
      </c>
    </row>
    <row r="12" spans="1:3" ht="17.25" x14ac:dyDescent="0.4">
      <c r="A12" s="83" t="s">
        <v>181</v>
      </c>
      <c r="B12" s="85">
        <f>SUM(B13:B21)</f>
        <v>105</v>
      </c>
      <c r="C12" s="84">
        <f>(B12*('Uitgaven en opbrengsten'!$B$9-'Uitgaven en opbrengsten'!$B$4))/(7.5*22*12)+B12*((Arbeid!$B$17+Arbeid!$C$17+Arbeid!$D$17+Arbeid!$E$17)/4)</f>
        <v>10616.193868626749</v>
      </c>
    </row>
    <row r="13" spans="1:3" x14ac:dyDescent="0.25">
      <c r="A13" t="s">
        <v>172</v>
      </c>
      <c r="B13">
        <v>25</v>
      </c>
      <c r="C13" s="14">
        <f>(B13*('Uitgaven en opbrengsten'!$B$9-'Uitgaven en opbrengsten'!$B$4))/(7.5*22*12)+B13*((Arbeid!$B$17+Arbeid!$C$17+Arbeid!$D$17+Arbeid!$E$17)/4)</f>
        <v>2527.6652068158928</v>
      </c>
    </row>
    <row r="14" spans="1:3" x14ac:dyDescent="0.25">
      <c r="A14" t="s">
        <v>173</v>
      </c>
      <c r="B14">
        <v>5</v>
      </c>
      <c r="C14" s="14">
        <f>(B14*('Uitgaven en opbrengsten'!$B$9-'Uitgaven en opbrengsten'!$B$4))/(7.5*22*12)+B14*((Arbeid!$B$17+Arbeid!$C$17+Arbeid!$D$17+Arbeid!$E$17)/4)</f>
        <v>505.53304136317854</v>
      </c>
    </row>
    <row r="15" spans="1:3" x14ac:dyDescent="0.25">
      <c r="A15" t="s">
        <v>174</v>
      </c>
      <c r="B15">
        <v>5</v>
      </c>
      <c r="C15" s="14">
        <f>(B15*('Uitgaven en opbrengsten'!$B$9-'Uitgaven en opbrengsten'!$B$4))/(7.5*22*12)+B15*((Arbeid!$B$17+Arbeid!$C$17+Arbeid!$D$17+Arbeid!$E$17)/4)</f>
        <v>505.53304136317854</v>
      </c>
    </row>
    <row r="16" spans="1:3" x14ac:dyDescent="0.25">
      <c r="A16" t="s">
        <v>175</v>
      </c>
      <c r="B16">
        <v>10</v>
      </c>
      <c r="C16" s="14">
        <f>(B16*('Uitgaven en opbrengsten'!$B$9-'Uitgaven en opbrengsten'!$B$4))/(7.5*22*12)+B16*((Arbeid!$B$17+Arbeid!$C$17+Arbeid!$D$17+Arbeid!$E$17)/4)</f>
        <v>1011.0660827263571</v>
      </c>
    </row>
    <row r="17" spans="1:3" x14ac:dyDescent="0.25">
      <c r="A17" t="s">
        <v>176</v>
      </c>
      <c r="B17">
        <v>10</v>
      </c>
      <c r="C17" s="14">
        <f>(B17*('Uitgaven en opbrengsten'!$B$9-'Uitgaven en opbrengsten'!$B$4))/(7.5*22*12)+B17*((Arbeid!$B$17+Arbeid!$C$17+Arbeid!$D$17+Arbeid!$E$17)/4)</f>
        <v>1011.0660827263571</v>
      </c>
    </row>
    <row r="18" spans="1:3" x14ac:dyDescent="0.25">
      <c r="A18" t="s">
        <v>177</v>
      </c>
      <c r="B18">
        <v>20</v>
      </c>
      <c r="C18" s="14">
        <f>(B18*('Uitgaven en opbrengsten'!$B$9-'Uitgaven en opbrengsten'!$B$4))/(7.5*22*12)+B18*((Arbeid!$B$17+Arbeid!$C$17+Arbeid!$D$17+Arbeid!$E$17)/4)</f>
        <v>2022.1321654527142</v>
      </c>
    </row>
    <row r="19" spans="1:3" x14ac:dyDescent="0.25">
      <c r="A19" t="s">
        <v>178</v>
      </c>
      <c r="B19">
        <v>5</v>
      </c>
      <c r="C19" s="14">
        <f>(B19*('Uitgaven en opbrengsten'!$B$9-'Uitgaven en opbrengsten'!$B$4))/(7.5*22*12)+B19*((Arbeid!$B$17+Arbeid!$C$17+Arbeid!$D$17+Arbeid!$E$17)/4)</f>
        <v>505.53304136317854</v>
      </c>
    </row>
    <row r="20" spans="1:3" x14ac:dyDescent="0.25">
      <c r="A20" t="s">
        <v>179</v>
      </c>
      <c r="B20">
        <v>5</v>
      </c>
      <c r="C20" s="14">
        <f>(B20*('Uitgaven en opbrengsten'!$B$9-'Uitgaven en opbrengsten'!$B$4))/(7.5*22*12)+B20*((Arbeid!$B$17+Arbeid!$C$17+Arbeid!$D$17+Arbeid!$E$17)/4)</f>
        <v>505.53304136317854</v>
      </c>
    </row>
    <row r="21" spans="1:3" x14ac:dyDescent="0.25">
      <c r="A21" t="s">
        <v>180</v>
      </c>
      <c r="B21">
        <v>20</v>
      </c>
      <c r="C21" s="14">
        <f>(B21*('Uitgaven en opbrengsten'!$B$9-'Uitgaven en opbrengsten'!$B$4))/(7.5*22*12)+B21*((Arbeid!$B$17+Arbeid!$C$17+Arbeid!$D$17+Arbeid!$E$17)/4)</f>
        <v>2022.1321654527142</v>
      </c>
    </row>
    <row r="23" spans="1:3" x14ac:dyDescent="0.25">
      <c r="B23" t="s">
        <v>183</v>
      </c>
    </row>
    <row r="24" spans="1:3" x14ac:dyDescent="0.25">
      <c r="A24" s="30" t="s">
        <v>182</v>
      </c>
      <c r="B24" s="30">
        <f>B2+B12</f>
        <v>310</v>
      </c>
      <c r="C24" s="86">
        <f>C2+C12</f>
        <v>31343.04856451707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6" sqref="I6"/>
    </sheetView>
  </sheetViews>
  <sheetFormatPr defaultRowHeight="15" x14ac:dyDescent="0.25"/>
  <cols>
    <col min="1" max="1" width="23.85546875" bestFit="1" customWidth="1"/>
    <col min="2" max="2" width="13.85546875" bestFit="1" customWidth="1"/>
    <col min="3" max="3" width="12.28515625" bestFit="1" customWidth="1"/>
    <col min="4" max="4" width="13.140625" bestFit="1" customWidth="1"/>
    <col min="9" max="9" width="30.5703125" bestFit="1" customWidth="1"/>
    <col min="10" max="10" width="20.28515625" bestFit="1" customWidth="1"/>
  </cols>
  <sheetData>
    <row r="1" spans="1:10" x14ac:dyDescent="0.25">
      <c r="A1" s="101" t="s">
        <v>203</v>
      </c>
      <c r="B1" s="101"/>
      <c r="C1" s="101"/>
      <c r="D1" s="101"/>
      <c r="E1" s="101"/>
      <c r="F1" s="101"/>
      <c r="G1" s="101"/>
      <c r="H1" s="101"/>
      <c r="I1" s="101"/>
      <c r="J1" s="101"/>
    </row>
    <row r="3" spans="1:10" x14ac:dyDescent="0.25">
      <c r="A3" t="s">
        <v>185</v>
      </c>
      <c r="B3">
        <v>0</v>
      </c>
    </row>
    <row r="4" spans="1:10" x14ac:dyDescent="0.25">
      <c r="A4" t="s">
        <v>186</v>
      </c>
      <c r="B4" s="23">
        <f>'Schatting ProjectKosten'!C24</f>
        <v>31343.04856451707</v>
      </c>
    </row>
    <row r="5" spans="1:10" x14ac:dyDescent="0.25">
      <c r="A5" t="s">
        <v>191</v>
      </c>
      <c r="B5" s="23">
        <f>Omzet!B18/'Schatting gebruikers'!B2</f>
        <v>0.46453064209917622</v>
      </c>
    </row>
    <row r="6" spans="1:10" x14ac:dyDescent="0.25">
      <c r="A6" t="s">
        <v>187</v>
      </c>
      <c r="B6" s="27">
        <f>B4/(B5-B3)</f>
        <v>67472.510366335322</v>
      </c>
      <c r="C6" t="s">
        <v>188</v>
      </c>
    </row>
    <row r="12" spans="1:10" x14ac:dyDescent="0.25">
      <c r="A12" t="s">
        <v>196</v>
      </c>
      <c r="B12" t="s">
        <v>61</v>
      </c>
      <c r="C12" t="s">
        <v>189</v>
      </c>
      <c r="D12" t="s">
        <v>190</v>
      </c>
    </row>
    <row r="13" spans="1:10" x14ac:dyDescent="0.25">
      <c r="A13">
        <v>0</v>
      </c>
      <c r="B13" s="23">
        <v>0</v>
      </c>
      <c r="C13" s="23">
        <f>$B$4</f>
        <v>31343.04856451707</v>
      </c>
      <c r="D13" s="23">
        <f>B13-C13</f>
        <v>-31343.04856451707</v>
      </c>
    </row>
    <row r="14" spans="1:10" x14ac:dyDescent="0.25">
      <c r="A14" s="87">
        <v>40000</v>
      </c>
      <c r="B14" s="23">
        <f>A14*$B$5</f>
        <v>18581.225683967048</v>
      </c>
      <c r="C14" s="23">
        <f t="shared" ref="C14:C25" si="0">$B$4</f>
        <v>31343.04856451707</v>
      </c>
      <c r="D14" s="23">
        <f t="shared" ref="D14:D25" si="1">B14-C14</f>
        <v>-12761.822880550022</v>
      </c>
    </row>
    <row r="15" spans="1:10" x14ac:dyDescent="0.25">
      <c r="A15">
        <v>80000</v>
      </c>
      <c r="B15" s="23">
        <f t="shared" ref="B15:B25" si="2">A15*$B$5</f>
        <v>37162.451367934096</v>
      </c>
      <c r="C15" s="23">
        <f t="shared" si="0"/>
        <v>31343.04856451707</v>
      </c>
      <c r="D15" s="23">
        <f t="shared" si="1"/>
        <v>5819.402803417026</v>
      </c>
      <c r="I15" s="87"/>
      <c r="J15" s="87"/>
    </row>
    <row r="16" spans="1:10" x14ac:dyDescent="0.25">
      <c r="A16" s="87">
        <v>120000</v>
      </c>
      <c r="B16" s="23">
        <f t="shared" si="2"/>
        <v>55743.677051901148</v>
      </c>
      <c r="C16" s="23">
        <f t="shared" si="0"/>
        <v>31343.04856451707</v>
      </c>
      <c r="D16" s="23">
        <f t="shared" si="1"/>
        <v>24400.628487384078</v>
      </c>
    </row>
    <row r="17" spans="1:4" x14ac:dyDescent="0.25">
      <c r="A17">
        <v>160000</v>
      </c>
      <c r="B17" s="23">
        <f t="shared" si="2"/>
        <v>74324.902735868192</v>
      </c>
      <c r="C17" s="23">
        <f t="shared" si="0"/>
        <v>31343.04856451707</v>
      </c>
      <c r="D17" s="23">
        <f t="shared" si="1"/>
        <v>42981.854171351122</v>
      </c>
    </row>
    <row r="18" spans="1:4" x14ac:dyDescent="0.25">
      <c r="A18" s="87">
        <v>200000</v>
      </c>
      <c r="B18" s="23">
        <f t="shared" si="2"/>
        <v>92906.128419835237</v>
      </c>
      <c r="C18" s="23">
        <f t="shared" si="0"/>
        <v>31343.04856451707</v>
      </c>
      <c r="D18" s="23">
        <f t="shared" si="1"/>
        <v>61563.079855318167</v>
      </c>
    </row>
    <row r="19" spans="1:4" x14ac:dyDescent="0.25">
      <c r="A19">
        <v>240000</v>
      </c>
      <c r="B19" s="23">
        <f t="shared" si="2"/>
        <v>111487.3541038023</v>
      </c>
      <c r="C19" s="23">
        <f t="shared" si="0"/>
        <v>31343.04856451707</v>
      </c>
      <c r="D19" s="23">
        <f t="shared" si="1"/>
        <v>80144.305539285226</v>
      </c>
    </row>
    <row r="20" spans="1:4" x14ac:dyDescent="0.25">
      <c r="A20" s="87">
        <v>280000</v>
      </c>
      <c r="B20" s="23">
        <f t="shared" si="2"/>
        <v>130068.57978776934</v>
      </c>
      <c r="C20" s="23">
        <f t="shared" si="0"/>
        <v>31343.04856451707</v>
      </c>
      <c r="D20" s="23">
        <f t="shared" si="1"/>
        <v>98725.53122325227</v>
      </c>
    </row>
    <row r="21" spans="1:4" x14ac:dyDescent="0.25">
      <c r="A21">
        <v>320000</v>
      </c>
      <c r="B21" s="23">
        <f t="shared" si="2"/>
        <v>148649.80547173638</v>
      </c>
      <c r="C21" s="23">
        <f t="shared" si="0"/>
        <v>31343.04856451707</v>
      </c>
      <c r="D21" s="23">
        <f t="shared" si="1"/>
        <v>117306.75690721931</v>
      </c>
    </row>
    <row r="22" spans="1:4" x14ac:dyDescent="0.25">
      <c r="A22" s="87">
        <v>360000</v>
      </c>
      <c r="B22" s="23">
        <f t="shared" si="2"/>
        <v>167231.03115570344</v>
      </c>
      <c r="C22" s="23">
        <f t="shared" si="0"/>
        <v>31343.04856451707</v>
      </c>
      <c r="D22" s="23">
        <f t="shared" si="1"/>
        <v>135887.98259118636</v>
      </c>
    </row>
    <row r="23" spans="1:4" x14ac:dyDescent="0.25">
      <c r="A23">
        <v>400000</v>
      </c>
      <c r="B23" s="23">
        <f t="shared" si="2"/>
        <v>185812.25683967047</v>
      </c>
      <c r="C23" s="23">
        <f t="shared" si="0"/>
        <v>31343.04856451707</v>
      </c>
      <c r="D23" s="23">
        <f t="shared" si="1"/>
        <v>154469.20827515342</v>
      </c>
    </row>
    <row r="24" spans="1:4" x14ac:dyDescent="0.25">
      <c r="A24" s="87">
        <v>440000</v>
      </c>
      <c r="B24" s="23">
        <f t="shared" si="2"/>
        <v>204393.48252363753</v>
      </c>
      <c r="C24" s="23">
        <f t="shared" si="0"/>
        <v>31343.04856451707</v>
      </c>
      <c r="D24" s="23">
        <f t="shared" si="1"/>
        <v>173050.43395912048</v>
      </c>
    </row>
    <row r="25" spans="1:4" x14ac:dyDescent="0.25">
      <c r="A25">
        <v>480000</v>
      </c>
      <c r="B25" s="23">
        <f t="shared" si="2"/>
        <v>222974.70820760459</v>
      </c>
      <c r="C25" s="23">
        <f t="shared" si="0"/>
        <v>31343.04856451707</v>
      </c>
      <c r="D25" s="23">
        <f t="shared" si="1"/>
        <v>191631.65964308754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M18" sqref="M18"/>
    </sheetView>
  </sheetViews>
  <sheetFormatPr defaultRowHeight="15" x14ac:dyDescent="0.25"/>
  <cols>
    <col min="1" max="1" width="19.42578125" bestFit="1" customWidth="1"/>
    <col min="2" max="2" width="11.28515625" bestFit="1" customWidth="1"/>
    <col min="3" max="6" width="11.5703125" bestFit="1" customWidth="1"/>
    <col min="7" max="7" width="10.28515625" bestFit="1" customWidth="1"/>
  </cols>
  <sheetData>
    <row r="1" spans="1:7" x14ac:dyDescent="0.25">
      <c r="A1" s="44" t="s">
        <v>201</v>
      </c>
      <c r="B1" s="44" t="s">
        <v>37</v>
      </c>
      <c r="C1" s="44" t="s">
        <v>38</v>
      </c>
      <c r="D1" s="44" t="s">
        <v>195</v>
      </c>
      <c r="E1" s="44" t="s">
        <v>39</v>
      </c>
      <c r="F1" s="44" t="s">
        <v>63</v>
      </c>
    </row>
    <row r="2" spans="1:7" x14ac:dyDescent="0.25">
      <c r="A2" s="44" t="s">
        <v>197</v>
      </c>
      <c r="B2" s="98">
        <v>203.3</v>
      </c>
      <c r="C2" s="98">
        <v>93.8</v>
      </c>
      <c r="D2" s="98">
        <v>86.97</v>
      </c>
      <c r="E2" s="98">
        <v>91.67</v>
      </c>
      <c r="F2" s="98">
        <f>SUM(B2:E2)</f>
        <v>475.74000000000007</v>
      </c>
    </row>
    <row r="3" spans="1:7" x14ac:dyDescent="0.25">
      <c r="A3" s="44" t="s">
        <v>198</v>
      </c>
      <c r="B3" s="99">
        <f>B2/7.5</f>
        <v>27.106666666666669</v>
      </c>
      <c r="C3" s="99">
        <f>C2/7.5</f>
        <v>12.506666666666666</v>
      </c>
      <c r="D3" s="99">
        <f>D2/7.5</f>
        <v>11.596</v>
      </c>
      <c r="E3" s="99">
        <f>E2/7.5</f>
        <v>12.222666666666667</v>
      </c>
      <c r="F3" s="99">
        <f t="shared" ref="F3:F4" si="0">SUM(B3:E3)</f>
        <v>63.432000000000002</v>
      </c>
    </row>
    <row r="4" spans="1:7" x14ac:dyDescent="0.25">
      <c r="A4" s="44" t="s">
        <v>199</v>
      </c>
      <c r="B4" s="100">
        <f>Arbeid!E17*B2</f>
        <v>22506.123199999998</v>
      </c>
      <c r="C4" s="100">
        <f>C2*Arbeid!D17</f>
        <v>6490.0219999999999</v>
      </c>
      <c r="D4" s="100">
        <f>D2*Arbeid!C17</f>
        <v>9627.9268799999991</v>
      </c>
      <c r="E4" s="100">
        <f>E2*Arbeid!B17</f>
        <v>6342.6472999999996</v>
      </c>
      <c r="F4" s="100">
        <f>SUM(B4:E4)</f>
        <v>44966.719379999995</v>
      </c>
    </row>
    <row r="5" spans="1:7" x14ac:dyDescent="0.25">
      <c r="A5" s="44" t="s">
        <v>141</v>
      </c>
      <c r="B5" s="100">
        <f>('Uitgaven en opbrengsten'!$B$2)/4/22/12*B$3</f>
        <v>204.02845050515708</v>
      </c>
      <c r="C5" s="100">
        <f>('Uitgaven en opbrengsten'!$B$2)/4/22/12*C$3</f>
        <v>94.136097675276602</v>
      </c>
      <c r="D5" s="100">
        <f>('Uitgaven en opbrengsten'!$B$2)/4/22/12*D$3</f>
        <v>87.281624891458492</v>
      </c>
      <c r="E5" s="100">
        <f>('Uitgaven en opbrengsten'!$B$2)/4/22/12*E$3</f>
        <v>91.998465606530985</v>
      </c>
      <c r="F5" s="100">
        <f>('Uitgaven en opbrengsten'!$B$2)/4/22/12*F$3</f>
        <v>477.44463867842319</v>
      </c>
      <c r="G5" s="23"/>
    </row>
    <row r="6" spans="1:7" x14ac:dyDescent="0.25">
      <c r="A6" s="44" t="s">
        <v>142</v>
      </c>
      <c r="B6" s="100">
        <f>('Uitgaven en opbrengsten'!$B$3)/4/22/12*B$3</f>
        <v>11.806502683561645</v>
      </c>
      <c r="C6" s="100">
        <f>('Uitgaven en opbrengsten'!$B$3)/4/22/12*C$3</f>
        <v>5.4473681835616432</v>
      </c>
      <c r="D6" s="100">
        <f>('Uitgaven en opbrengsten'!$B$3)/4/22/12*D$3</f>
        <v>5.0507207987671228</v>
      </c>
      <c r="E6" s="100">
        <f>('Uitgaven en opbrengsten'!$B$3)/4/22/12*E$3</f>
        <v>5.3236699508219179</v>
      </c>
      <c r="F6" s="100">
        <f>('Uitgaven en opbrengsten'!$B$3)/4/22/12*F$3</f>
        <v>27.628261616712329</v>
      </c>
    </row>
    <row r="7" spans="1:7" x14ac:dyDescent="0.25">
      <c r="A7" s="44" t="s">
        <v>144</v>
      </c>
      <c r="B7" s="100">
        <f>('Uitgaven en opbrengsten'!$B$5)/4/22/12*B$3</f>
        <v>0.45839080334595961</v>
      </c>
      <c r="C7" s="100">
        <f>('Uitgaven en opbrengsten'!$B$5)/4/22/12*C$3</f>
        <v>0.2114956092171717</v>
      </c>
      <c r="D7" s="100">
        <f>('Uitgaven en opbrengsten'!$B$5)/4/22/12*D$3</f>
        <v>0.19609566240530302</v>
      </c>
      <c r="E7" s="100">
        <f>('Uitgaven en opbrengsten'!$B$5)/4/22/12*E$3</f>
        <v>0.20669299037247474</v>
      </c>
      <c r="F7" s="100">
        <f>('Uitgaven en opbrengsten'!$B$5)/4/22/12*F$3</f>
        <v>1.0726750653409092</v>
      </c>
    </row>
    <row r="8" spans="1:7" x14ac:dyDescent="0.25">
      <c r="A8" s="44" t="s">
        <v>145</v>
      </c>
      <c r="B8" s="100">
        <f>('Uitgaven en opbrengsten'!$B$6)/4/22/12*B$3</f>
        <v>33.770388888888895</v>
      </c>
      <c r="C8" s="100">
        <f>('Uitgaven en opbrengsten'!$B$6)/4/22/12*C$3</f>
        <v>15.581222222222221</v>
      </c>
      <c r="D8" s="100">
        <f>('Uitgaven en opbrengsten'!$B$6)/4/22/12*D$3</f>
        <v>14.446683333333334</v>
      </c>
      <c r="E8" s="100">
        <f>('Uitgaven en opbrengsten'!$B$6)/4/22/12*E$3</f>
        <v>15.227405555555556</v>
      </c>
      <c r="F8" s="100">
        <f>('Uitgaven en opbrengsten'!$B$6)/4/22/12*F$3</f>
        <v>79.025700000000001</v>
      </c>
    </row>
    <row r="9" spans="1:7" x14ac:dyDescent="0.25">
      <c r="A9" s="44" t="s">
        <v>148</v>
      </c>
      <c r="B9" s="100">
        <f>('Uitgaven en opbrengsten'!$B$7)/4/22/12*B$3</f>
        <v>24.494569696969702</v>
      </c>
      <c r="C9" s="100">
        <f>('Uitgaven en opbrengsten'!$B$7)/4/22/12*C$3</f>
        <v>11.301478787878787</v>
      </c>
      <c r="D9" s="100">
        <f>('Uitgaven en opbrengsten'!$B$7)/4/22/12*D$3</f>
        <v>10.478567272727274</v>
      </c>
      <c r="E9" s="100">
        <f>('Uitgaven en opbrengsten'!$B$7)/4/22/12*E$3</f>
        <v>11.044846060606062</v>
      </c>
      <c r="F9" s="100">
        <f>('Uitgaven en opbrengsten'!$B$7)/4/22/12*F$3</f>
        <v>57.319461818181821</v>
      </c>
    </row>
    <row r="10" spans="1:7" x14ac:dyDescent="0.25">
      <c r="A10" s="44" t="s">
        <v>157</v>
      </c>
      <c r="B10" s="100">
        <f>('Uitgaven en opbrengsten'!$B$8)/4/22/12*B$3</f>
        <v>292.62878787878788</v>
      </c>
      <c r="C10" s="100">
        <f>('Uitgaven en opbrengsten'!$B$8)/4/22/12*C$3</f>
        <v>135.0151515151515</v>
      </c>
      <c r="D10" s="100">
        <f>('Uitgaven en opbrengsten'!$B$8)/4/22/12*D$3</f>
        <v>125.1840909090909</v>
      </c>
      <c r="E10" s="100">
        <f>('Uitgaven en opbrengsten'!$B$8)/4/22/12*E$3</f>
        <v>131.94924242424241</v>
      </c>
      <c r="F10" s="100">
        <f>('Uitgaven en opbrengsten'!$B$8)/4/22/12*F$3</f>
        <v>684.7772727272727</v>
      </c>
    </row>
    <row r="11" spans="1:7" x14ac:dyDescent="0.25">
      <c r="A11" s="44" t="s">
        <v>200</v>
      </c>
      <c r="B11" s="100">
        <f>('Uitgaven en opbrengsten'!$B$2+'Uitgaven en opbrengsten'!$B$3+'Uitgaven en opbrengsten'!$B$5+'Uitgaven en opbrengsten'!$B$6+'Uitgaven en opbrengsten'!$B$7+'Uitgaven en opbrengsten'!$B$8)/4/22/12*$B$3</f>
        <v>567.18709045671119</v>
      </c>
      <c r="C11" s="100">
        <f>('Uitgaven en opbrengsten'!$B$2+'Uitgaven en opbrengsten'!$B$3+'Uitgaven en opbrengsten'!$B$5+'Uitgaven en opbrengsten'!$B$6+'Uitgaven en opbrengsten'!$B$7+'Uitgaven en opbrengsten'!$B$8)/4/22/12*$C$3</f>
        <v>261.69281399330794</v>
      </c>
      <c r="D11" s="100">
        <f>('Uitgaven en opbrengsten'!$B$2+'Uitgaven en opbrengsten'!$B$3+'Uitgaven en opbrengsten'!$B$5+'Uitgaven en opbrengsten'!$B$6+'Uitgaven en opbrengsten'!$B$7+'Uitgaven en opbrengsten'!$B$8)/4/22/12*$D$3</f>
        <v>242.63778286778245</v>
      </c>
      <c r="E11" s="100">
        <f>('Uitgaven en opbrengsten'!$B$2+'Uitgaven en opbrengsten'!$B$3+'Uitgaven en opbrengsten'!$B$5+'Uitgaven en opbrengsten'!$B$6+'Uitgaven en opbrengsten'!$B$7+'Uitgaven en opbrengsten'!$B$8)/4/22/12*$E$3</f>
        <v>255.75032258812945</v>
      </c>
      <c r="F11" s="100">
        <f>('Uitgaven en opbrengsten'!$B$2+'Uitgaven en opbrengsten'!$B$3+'Uitgaven en opbrengsten'!$B$5+'Uitgaven en opbrengsten'!$B$6+'Uitgaven en opbrengsten'!$B$7+'Uitgaven en opbrengsten'!$B$8)/4/22/12*$F$3</f>
        <v>1327.268009905931</v>
      </c>
    </row>
    <row r="12" spans="1:7" x14ac:dyDescent="0.25">
      <c r="A12" t="s">
        <v>202</v>
      </c>
      <c r="B12" s="23">
        <f>SUM(B4:B11)</f>
        <v>23640.497380913421</v>
      </c>
      <c r="C12" s="23">
        <f t="shared" ref="C12:F12" si="1">SUM(C4:C11)</f>
        <v>7013.4076279866167</v>
      </c>
      <c r="D12" s="23">
        <f t="shared" si="1"/>
        <v>10113.202445735566</v>
      </c>
      <c r="E12" s="23">
        <f t="shared" si="1"/>
        <v>6854.1479451762571</v>
      </c>
      <c r="F12" s="23">
        <f t="shared" si="1"/>
        <v>47621.25539981186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6" sqref="G6"/>
    </sheetView>
  </sheetViews>
  <sheetFormatPr defaultRowHeight="15" x14ac:dyDescent="0.25"/>
  <cols>
    <col min="1" max="1" width="23.85546875" bestFit="1" customWidth="1"/>
    <col min="2" max="2" width="13.85546875" bestFit="1" customWidth="1"/>
    <col min="3" max="3" width="12.28515625" bestFit="1" customWidth="1"/>
    <col min="4" max="4" width="13.140625" bestFit="1" customWidth="1"/>
    <col min="9" max="9" width="30.5703125" bestFit="1" customWidth="1"/>
    <col min="10" max="10" width="20.28515625" bestFit="1" customWidth="1"/>
  </cols>
  <sheetData>
    <row r="1" spans="1:10" x14ac:dyDescent="0.25">
      <c r="A1" s="101" t="s">
        <v>203</v>
      </c>
      <c r="B1" s="101"/>
      <c r="C1" s="101"/>
      <c r="D1" s="101"/>
      <c r="E1" s="101"/>
      <c r="F1" s="101"/>
      <c r="G1" s="101"/>
      <c r="H1" s="101"/>
      <c r="I1" s="101"/>
      <c r="J1" s="101"/>
    </row>
    <row r="3" spans="1:10" x14ac:dyDescent="0.25">
      <c r="A3" t="s">
        <v>185</v>
      </c>
      <c r="B3">
        <v>0</v>
      </c>
    </row>
    <row r="4" spans="1:10" x14ac:dyDescent="0.25">
      <c r="A4" t="s">
        <v>186</v>
      </c>
      <c r="B4" s="23">
        <f>'Effectieve projectkosten'!F12</f>
        <v>47621.25539981186</v>
      </c>
    </row>
    <row r="5" spans="1:10" x14ac:dyDescent="0.25">
      <c r="A5" t="s">
        <v>191</v>
      </c>
      <c r="B5" s="23">
        <f>Omzet!B18/'Schatting gebruikers'!B2</f>
        <v>0.46453064209917622</v>
      </c>
    </row>
    <row r="6" spans="1:10" x14ac:dyDescent="0.25">
      <c r="A6" t="s">
        <v>187</v>
      </c>
      <c r="B6" s="27">
        <f>B4/(B5-B3)</f>
        <v>102514.77746358191</v>
      </c>
      <c r="C6" t="s">
        <v>188</v>
      </c>
    </row>
    <row r="12" spans="1:10" x14ac:dyDescent="0.25">
      <c r="A12" t="s">
        <v>196</v>
      </c>
      <c r="B12" t="s">
        <v>61</v>
      </c>
      <c r="C12" t="s">
        <v>189</v>
      </c>
      <c r="D12" t="s">
        <v>190</v>
      </c>
    </row>
    <row r="13" spans="1:10" x14ac:dyDescent="0.25">
      <c r="A13">
        <v>0</v>
      </c>
      <c r="B13" s="23">
        <v>0</v>
      </c>
      <c r="C13" s="23">
        <f>$B$4</f>
        <v>47621.25539981186</v>
      </c>
      <c r="D13" s="23">
        <f>B13-C13</f>
        <v>-47621.25539981186</v>
      </c>
    </row>
    <row r="14" spans="1:10" x14ac:dyDescent="0.25">
      <c r="A14" s="87">
        <v>40000</v>
      </c>
      <c r="B14" s="23">
        <f>A14*$B$5</f>
        <v>18581.225683967048</v>
      </c>
      <c r="C14" s="23">
        <f t="shared" ref="C14:C25" si="0">$B$4</f>
        <v>47621.25539981186</v>
      </c>
      <c r="D14" s="23">
        <f t="shared" ref="D14:D25" si="1">B14-C14</f>
        <v>-29040.029715844812</v>
      </c>
    </row>
    <row r="15" spans="1:10" x14ac:dyDescent="0.25">
      <c r="A15">
        <v>80000</v>
      </c>
      <c r="B15" s="23">
        <f t="shared" ref="B15:B25" si="2">A15*$B$5</f>
        <v>37162.451367934096</v>
      </c>
      <c r="C15" s="23">
        <f t="shared" si="0"/>
        <v>47621.25539981186</v>
      </c>
      <c r="D15" s="23">
        <f t="shared" si="1"/>
        <v>-10458.804031877764</v>
      </c>
      <c r="I15" s="87"/>
      <c r="J15" s="87"/>
    </row>
    <row r="16" spans="1:10" x14ac:dyDescent="0.25">
      <c r="A16" s="87">
        <v>120000</v>
      </c>
      <c r="B16" s="23">
        <f t="shared" si="2"/>
        <v>55743.677051901148</v>
      </c>
      <c r="C16" s="23">
        <f t="shared" si="0"/>
        <v>47621.25539981186</v>
      </c>
      <c r="D16" s="23">
        <f t="shared" si="1"/>
        <v>8122.4216520892878</v>
      </c>
    </row>
    <row r="17" spans="1:4" x14ac:dyDescent="0.25">
      <c r="A17">
        <v>160000</v>
      </c>
      <c r="B17" s="23">
        <f t="shared" si="2"/>
        <v>74324.902735868192</v>
      </c>
      <c r="C17" s="23">
        <f t="shared" si="0"/>
        <v>47621.25539981186</v>
      </c>
      <c r="D17" s="23">
        <f t="shared" si="1"/>
        <v>26703.647336056332</v>
      </c>
    </row>
    <row r="18" spans="1:4" x14ac:dyDescent="0.25">
      <c r="A18" s="87">
        <v>200000</v>
      </c>
      <c r="B18" s="23">
        <f t="shared" si="2"/>
        <v>92906.128419835237</v>
      </c>
      <c r="C18" s="23">
        <f t="shared" si="0"/>
        <v>47621.25539981186</v>
      </c>
      <c r="D18" s="23">
        <f t="shared" si="1"/>
        <v>45284.873020023377</v>
      </c>
    </row>
    <row r="19" spans="1:4" x14ac:dyDescent="0.25">
      <c r="A19">
        <v>240000</v>
      </c>
      <c r="B19" s="23">
        <f t="shared" si="2"/>
        <v>111487.3541038023</v>
      </c>
      <c r="C19" s="23">
        <f t="shared" si="0"/>
        <v>47621.25539981186</v>
      </c>
      <c r="D19" s="23">
        <f t="shared" si="1"/>
        <v>63866.098703990436</v>
      </c>
    </row>
    <row r="20" spans="1:4" x14ac:dyDescent="0.25">
      <c r="A20" s="87">
        <v>280000</v>
      </c>
      <c r="B20" s="23">
        <f t="shared" si="2"/>
        <v>130068.57978776934</v>
      </c>
      <c r="C20" s="23">
        <f t="shared" si="0"/>
        <v>47621.25539981186</v>
      </c>
      <c r="D20" s="23">
        <f t="shared" si="1"/>
        <v>82447.324387957487</v>
      </c>
    </row>
    <row r="21" spans="1:4" x14ac:dyDescent="0.25">
      <c r="A21">
        <v>320000</v>
      </c>
      <c r="B21" s="23">
        <f t="shared" si="2"/>
        <v>148649.80547173638</v>
      </c>
      <c r="C21" s="23">
        <f t="shared" si="0"/>
        <v>47621.25539981186</v>
      </c>
      <c r="D21" s="23">
        <f t="shared" si="1"/>
        <v>101028.55007192452</v>
      </c>
    </row>
    <row r="22" spans="1:4" x14ac:dyDescent="0.25">
      <c r="A22" s="87">
        <v>360000</v>
      </c>
      <c r="B22" s="23">
        <f t="shared" si="2"/>
        <v>167231.03115570344</v>
      </c>
      <c r="C22" s="23">
        <f t="shared" si="0"/>
        <v>47621.25539981186</v>
      </c>
      <c r="D22" s="23">
        <f t="shared" si="1"/>
        <v>119609.77575589158</v>
      </c>
    </row>
    <row r="23" spans="1:4" x14ac:dyDescent="0.25">
      <c r="A23">
        <v>400000</v>
      </c>
      <c r="B23" s="23">
        <f t="shared" si="2"/>
        <v>185812.25683967047</v>
      </c>
      <c r="C23" s="23">
        <f t="shared" si="0"/>
        <v>47621.25539981186</v>
      </c>
      <c r="D23" s="23">
        <f t="shared" si="1"/>
        <v>138191.00143985861</v>
      </c>
    </row>
    <row r="24" spans="1:4" x14ac:dyDescent="0.25">
      <c r="A24" s="87">
        <v>440000</v>
      </c>
      <c r="B24" s="23">
        <f t="shared" si="2"/>
        <v>204393.48252363753</v>
      </c>
      <c r="C24" s="23">
        <f t="shared" si="0"/>
        <v>47621.25539981186</v>
      </c>
      <c r="D24" s="23">
        <f t="shared" si="1"/>
        <v>156772.22712382567</v>
      </c>
    </row>
    <row r="25" spans="1:4" x14ac:dyDescent="0.25">
      <c r="A25">
        <v>480000</v>
      </c>
      <c r="B25" s="23">
        <f t="shared" si="2"/>
        <v>222974.70820760459</v>
      </c>
      <c r="C25" s="23">
        <f t="shared" si="0"/>
        <v>47621.25539981186</v>
      </c>
      <c r="D25" s="23">
        <f t="shared" si="1"/>
        <v>175353.45280779272</v>
      </c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Arbeid</vt:lpstr>
      <vt:lpstr>Kosten</vt:lpstr>
      <vt:lpstr>Software</vt:lpstr>
      <vt:lpstr>Omzet</vt:lpstr>
      <vt:lpstr>Schatting gebruikers</vt:lpstr>
      <vt:lpstr>interieur</vt:lpstr>
      <vt:lpstr>Hardware</vt:lpstr>
      <vt:lpstr>afschrijvingen</vt:lpstr>
      <vt:lpstr>Uitgaven en opbrengsten</vt:lpstr>
      <vt:lpstr>Schatting ProjectKosten</vt:lpstr>
      <vt:lpstr>Break even analyse op schatting</vt:lpstr>
      <vt:lpstr>Effectieve projectkosten</vt:lpstr>
      <vt:lpstr>Break even 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2015-12-19T15:57:51Z</dcterms:modified>
</cp:coreProperties>
</file>